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Bangho\Downloads\"/>
    </mc:Choice>
  </mc:AlternateContent>
  <bookViews>
    <workbookView xWindow="0" yWindow="0" windowWidth="20490" windowHeight="7095"/>
  </bookViews>
  <sheets>
    <sheet name="ETP" sheetId="4" r:id="rId1"/>
    <sheet name="Gráfico" sheetId="5" r:id="rId2"/>
    <sheet name="Expresiones de cálculo" sheetId="6" r:id="rId3"/>
    <sheet name="Hoja2" sheetId="2" state="hidden" r:id="rId4"/>
  </sheets>
  <calcPr calcId="152511"/>
</workbook>
</file>

<file path=xl/calcChain.xml><?xml version="1.0" encoding="utf-8"?>
<calcChain xmlns="http://schemas.openxmlformats.org/spreadsheetml/2006/main">
  <c r="D56" i="4" l="1"/>
  <c r="B56" i="4"/>
  <c r="C132" i="4"/>
  <c r="C133" i="4"/>
  <c r="C142" i="4" s="1"/>
  <c r="C143" i="4" s="1"/>
  <c r="C141" i="4"/>
  <c r="D132" i="4"/>
  <c r="D133" i="4"/>
  <c r="D142" i="4"/>
  <c r="E132" i="4"/>
  <c r="E133" i="4"/>
  <c r="E141" i="4" s="1"/>
  <c r="F132" i="4"/>
  <c r="F133" i="4"/>
  <c r="F134" i="4" s="1"/>
  <c r="F142" i="4"/>
  <c r="F143" i="4" s="1"/>
  <c r="G132" i="4"/>
  <c r="G133" i="4"/>
  <c r="G142" i="4"/>
  <c r="G143" i="4" s="1"/>
  <c r="H132" i="4"/>
  <c r="H133" i="4"/>
  <c r="H142" i="4"/>
  <c r="H143" i="4" s="1"/>
  <c r="I132" i="4"/>
  <c r="I133" i="4"/>
  <c r="J132" i="4"/>
  <c r="J133" i="4" s="1"/>
  <c r="K132" i="4"/>
  <c r="K133" i="4"/>
  <c r="K142" i="4"/>
  <c r="K143" i="4" s="1"/>
  <c r="L132" i="4"/>
  <c r="L133" i="4" s="1"/>
  <c r="L141" i="4" s="1"/>
  <c r="L142" i="4"/>
  <c r="M132" i="4"/>
  <c r="M133" i="4" s="1"/>
  <c r="M142" i="4" s="1"/>
  <c r="M143" i="4" s="1"/>
  <c r="B132" i="4"/>
  <c r="B133" i="4"/>
  <c r="B142" i="4" s="1"/>
  <c r="B143" i="4" s="1"/>
  <c r="N35" i="4"/>
  <c r="A44" i="4"/>
  <c r="B113" i="4"/>
  <c r="B89" i="4"/>
  <c r="B114" i="4" s="1"/>
  <c r="B112" i="4"/>
  <c r="B91" i="4"/>
  <c r="B105" i="4"/>
  <c r="B141" i="4"/>
  <c r="B100" i="4"/>
  <c r="B102" i="4" s="1"/>
  <c r="B104" i="4" s="1"/>
  <c r="B101" i="4"/>
  <c r="B88" i="4"/>
  <c r="B90" i="4" s="1"/>
  <c r="B110" i="4"/>
  <c r="B109" i="4"/>
  <c r="B108" i="4" s="1"/>
  <c r="B92" i="4"/>
  <c r="B93" i="4" s="1"/>
  <c r="B120" i="4" s="1"/>
  <c r="C113" i="4"/>
  <c r="C89" i="4"/>
  <c r="C112" i="4"/>
  <c r="C91" i="4"/>
  <c r="C105" i="4"/>
  <c r="C100" i="4"/>
  <c r="C101" i="4"/>
  <c r="C88" i="4"/>
  <c r="C90" i="4" s="1"/>
  <c r="C110" i="4"/>
  <c r="C109" i="4"/>
  <c r="C92" i="4"/>
  <c r="D113" i="4"/>
  <c r="D89" i="4"/>
  <c r="D112" i="4"/>
  <c r="D114" i="4"/>
  <c r="D91" i="4"/>
  <c r="D105" i="4"/>
  <c r="D141" i="4"/>
  <c r="D100" i="4"/>
  <c r="D101" i="4"/>
  <c r="D88" i="4"/>
  <c r="D90" i="4" s="1"/>
  <c r="D110" i="4"/>
  <c r="D109" i="4"/>
  <c r="D108" i="4" s="1"/>
  <c r="D92" i="4"/>
  <c r="D93" i="4" s="1"/>
  <c r="D120" i="4" s="1"/>
  <c r="E113" i="4"/>
  <c r="E89" i="4"/>
  <c r="E112" i="4"/>
  <c r="E91" i="4"/>
  <c r="E93" i="4" s="1"/>
  <c r="E120" i="4" s="1"/>
  <c r="E105" i="4"/>
  <c r="E100" i="4"/>
  <c r="E101" i="4"/>
  <c r="E102" i="4" s="1"/>
  <c r="E104" i="4" s="1"/>
  <c r="E88" i="4"/>
  <c r="E90" i="4" s="1"/>
  <c r="E110" i="4"/>
  <c r="E109" i="4"/>
  <c r="E92" i="4"/>
  <c r="F113" i="4"/>
  <c r="F89" i="4"/>
  <c r="F112" i="4"/>
  <c r="F91" i="4"/>
  <c r="F105" i="4"/>
  <c r="F141" i="4"/>
  <c r="F100" i="4"/>
  <c r="F101" i="4"/>
  <c r="F88" i="4"/>
  <c r="F90" i="4" s="1"/>
  <c r="F110" i="4"/>
  <c r="F109" i="4"/>
  <c r="F92" i="4"/>
  <c r="F93" i="4" s="1"/>
  <c r="F120" i="4" s="1"/>
  <c r="G113" i="4"/>
  <c r="G89" i="4"/>
  <c r="G114" i="4" s="1"/>
  <c r="G112" i="4"/>
  <c r="G91" i="4"/>
  <c r="G105" i="4"/>
  <c r="G141" i="4"/>
  <c r="G100" i="4"/>
  <c r="G101" i="4"/>
  <c r="G88" i="4"/>
  <c r="G110" i="4"/>
  <c r="G109" i="4"/>
  <c r="G92" i="4"/>
  <c r="H113" i="4"/>
  <c r="H89" i="4"/>
  <c r="H112" i="4"/>
  <c r="H91" i="4"/>
  <c r="H105" i="4"/>
  <c r="H141" i="4"/>
  <c r="H100" i="4"/>
  <c r="H102" i="4" s="1"/>
  <c r="H104" i="4" s="1"/>
  <c r="H101" i="4"/>
  <c r="H88" i="4"/>
  <c r="H90" i="4" s="1"/>
  <c r="H110" i="4"/>
  <c r="H109" i="4"/>
  <c r="H92" i="4"/>
  <c r="I113" i="4"/>
  <c r="I89" i="4"/>
  <c r="I112" i="4"/>
  <c r="I114" i="4" s="1"/>
  <c r="I91" i="4"/>
  <c r="I105" i="4"/>
  <c r="I100" i="4"/>
  <c r="I101" i="4"/>
  <c r="I88" i="4"/>
  <c r="I90" i="4" s="1"/>
  <c r="I110" i="4"/>
  <c r="I109" i="4"/>
  <c r="I92" i="4"/>
  <c r="J113" i="4"/>
  <c r="J89" i="4"/>
  <c r="J112" i="4"/>
  <c r="J91" i="4"/>
  <c r="J105" i="4"/>
  <c r="J100" i="4"/>
  <c r="J101" i="4"/>
  <c r="J88" i="4"/>
  <c r="J90" i="4" s="1"/>
  <c r="J110" i="4"/>
  <c r="J109" i="4"/>
  <c r="J92" i="4"/>
  <c r="K113" i="4"/>
  <c r="K89" i="4"/>
  <c r="K112" i="4"/>
  <c r="K91" i="4"/>
  <c r="K105" i="4"/>
  <c r="K141" i="4"/>
  <c r="K100" i="4"/>
  <c r="K101" i="4"/>
  <c r="K88" i="4"/>
  <c r="K90" i="4" s="1"/>
  <c r="K110" i="4"/>
  <c r="K109" i="4"/>
  <c r="K92" i="4"/>
  <c r="L113" i="4"/>
  <c r="L89" i="4"/>
  <c r="L114" i="4" s="1"/>
  <c r="L112" i="4"/>
  <c r="L91" i="4"/>
  <c r="L105" i="4"/>
  <c r="L100" i="4"/>
  <c r="L101" i="4"/>
  <c r="L88" i="4"/>
  <c r="L110" i="4"/>
  <c r="L109" i="4"/>
  <c r="L92" i="4"/>
  <c r="M113" i="4"/>
  <c r="M89" i="4"/>
  <c r="M112" i="4"/>
  <c r="M91" i="4"/>
  <c r="M105" i="4"/>
  <c r="M100" i="4"/>
  <c r="M101" i="4"/>
  <c r="M88" i="4"/>
  <c r="M90" i="4" s="1"/>
  <c r="M110" i="4"/>
  <c r="M109" i="4"/>
  <c r="M92" i="4"/>
  <c r="B60" i="4"/>
  <c r="C60" i="4"/>
  <c r="D60" i="4"/>
  <c r="E60" i="4"/>
  <c r="F60" i="4"/>
  <c r="G60" i="4"/>
  <c r="H60" i="4"/>
  <c r="I60" i="4"/>
  <c r="J60" i="4"/>
  <c r="K60" i="4"/>
  <c r="L60" i="4"/>
  <c r="M60" i="4"/>
  <c r="C134" i="4"/>
  <c r="C135" i="4" s="1"/>
  <c r="D134" i="4"/>
  <c r="D135" i="4" s="1"/>
  <c r="E134" i="4"/>
  <c r="E135" i="4" s="1"/>
  <c r="G134" i="4"/>
  <c r="H134" i="4"/>
  <c r="K134" i="4"/>
  <c r="K135" i="4" s="1"/>
  <c r="L134" i="4"/>
  <c r="M134" i="4"/>
  <c r="M135" i="4" s="1"/>
  <c r="B128" i="4"/>
  <c r="B78" i="4" s="1"/>
  <c r="C128" i="4"/>
  <c r="C78" i="4" s="1"/>
  <c r="D128" i="4"/>
  <c r="D78" i="4" s="1"/>
  <c r="E128" i="4"/>
  <c r="E78" i="4" s="1"/>
  <c r="F128" i="4"/>
  <c r="F78" i="4" s="1"/>
  <c r="G128" i="4"/>
  <c r="G78" i="4" s="1"/>
  <c r="H128" i="4"/>
  <c r="H78" i="4" s="1"/>
  <c r="I128" i="4"/>
  <c r="I78" i="4" s="1"/>
  <c r="J128" i="4"/>
  <c r="J78" i="4" s="1"/>
  <c r="K128" i="4"/>
  <c r="K78" i="4" s="1"/>
  <c r="L128" i="4"/>
  <c r="L78" i="4" s="1"/>
  <c r="M128" i="4"/>
  <c r="M78" i="4" s="1"/>
  <c r="N30" i="4"/>
  <c r="N32" i="4"/>
  <c r="N31" i="4"/>
  <c r="N29" i="4"/>
  <c r="N28" i="4"/>
  <c r="N34" i="4"/>
  <c r="N33" i="4"/>
  <c r="B81" i="4"/>
  <c r="C81" i="4"/>
  <c r="D81" i="4"/>
  <c r="E81" i="4"/>
  <c r="F81" i="4"/>
  <c r="G81" i="4"/>
  <c r="H81" i="4"/>
  <c r="I81" i="4"/>
  <c r="J81" i="4"/>
  <c r="K81" i="4"/>
  <c r="L81" i="4"/>
  <c r="M81" i="4"/>
  <c r="L90" i="4"/>
  <c r="L143" i="4"/>
  <c r="L135" i="4"/>
  <c r="D143" i="4"/>
  <c r="H135" i="4"/>
  <c r="G135" i="4"/>
  <c r="F135" i="4"/>
  <c r="D72" i="4"/>
  <c r="D87" i="4" s="1"/>
  <c r="D130" i="4"/>
  <c r="D131" i="4"/>
  <c r="D136" i="4" s="1"/>
  <c r="D137" i="4" s="1"/>
  <c r="I72" i="4"/>
  <c r="I130" i="4" s="1"/>
  <c r="I131" i="4" s="1"/>
  <c r="B72" i="4"/>
  <c r="B130" i="4" s="1"/>
  <c r="B131" i="4" s="1"/>
  <c r="M72" i="4"/>
  <c r="L72" i="4"/>
  <c r="G108" i="4"/>
  <c r="B134" i="4"/>
  <c r="B135" i="4"/>
  <c r="E142" i="4"/>
  <c r="E143" i="4"/>
  <c r="K72" i="4"/>
  <c r="D144" i="4"/>
  <c r="D145" i="4" s="1"/>
  <c r="D139" i="4"/>
  <c r="I87" i="4"/>
  <c r="K130" i="4"/>
  <c r="K131" i="4" s="1"/>
  <c r="K87" i="4"/>
  <c r="D147" i="4"/>
  <c r="M93" i="4" l="1"/>
  <c r="M120" i="4" s="1"/>
  <c r="K93" i="4"/>
  <c r="K120" i="4" s="1"/>
  <c r="G115" i="4"/>
  <c r="G117" i="4" s="1"/>
  <c r="G93" i="4"/>
  <c r="G120" i="4" s="1"/>
  <c r="I93" i="4"/>
  <c r="I120" i="4" s="1"/>
  <c r="I115" i="4"/>
  <c r="I116" i="4" s="1"/>
  <c r="C93" i="4"/>
  <c r="C120" i="4" s="1"/>
  <c r="B115" i="4"/>
  <c r="B116" i="4" s="1"/>
  <c r="C114" i="4"/>
  <c r="C115" i="4" s="1"/>
  <c r="K102" i="4"/>
  <c r="K104" i="4" s="1"/>
  <c r="M102" i="4"/>
  <c r="M104" i="4" s="1"/>
  <c r="K108" i="4"/>
  <c r="E114" i="4"/>
  <c r="E115" i="4" s="1"/>
  <c r="D102" i="4"/>
  <c r="D104" i="4" s="1"/>
  <c r="H108" i="4"/>
  <c r="C108" i="4"/>
  <c r="C116" i="4"/>
  <c r="F108" i="4"/>
  <c r="F114" i="4"/>
  <c r="F115" i="4" s="1"/>
  <c r="F116" i="4" s="1"/>
  <c r="B103" i="4"/>
  <c r="I108" i="4"/>
  <c r="J93" i="4"/>
  <c r="J120" i="4" s="1"/>
  <c r="B136" i="4"/>
  <c r="B137" i="4" s="1"/>
  <c r="B140" i="4" s="1"/>
  <c r="B144" i="4"/>
  <c r="D149" i="4"/>
  <c r="D148" i="4"/>
  <c r="D82" i="4" s="1"/>
  <c r="D83" i="4" s="1"/>
  <c r="D48" i="4" s="1"/>
  <c r="D115" i="4"/>
  <c r="D117" i="4" s="1"/>
  <c r="J114" i="4"/>
  <c r="J142" i="4"/>
  <c r="J143" i="4" s="1"/>
  <c r="J134" i="4"/>
  <c r="J135" i="4" s="1"/>
  <c r="J141" i="4"/>
  <c r="L102" i="4"/>
  <c r="L104" i="4" s="1"/>
  <c r="J108" i="4"/>
  <c r="F102" i="4"/>
  <c r="F104" i="4" s="1"/>
  <c r="I142" i="4"/>
  <c r="I143" i="4" s="1"/>
  <c r="I134" i="4"/>
  <c r="I135" i="4" s="1"/>
  <c r="I141" i="4"/>
  <c r="G90" i="4"/>
  <c r="H114" i="4"/>
  <c r="G102" i="4"/>
  <c r="G104" i="4" s="1"/>
  <c r="B87" i="4"/>
  <c r="M114" i="4"/>
  <c r="J102" i="4"/>
  <c r="J104" i="4" s="1"/>
  <c r="L87" i="4"/>
  <c r="L130" i="4"/>
  <c r="L131" i="4" s="1"/>
  <c r="M108" i="4"/>
  <c r="D73" i="4"/>
  <c r="D94" i="4"/>
  <c r="D95" i="4" s="1"/>
  <c r="M130" i="4"/>
  <c r="M131" i="4" s="1"/>
  <c r="M87" i="4"/>
  <c r="E103" i="4"/>
  <c r="L93" i="4"/>
  <c r="L120" i="4" s="1"/>
  <c r="H103" i="4"/>
  <c r="B62" i="4"/>
  <c r="L115" i="4"/>
  <c r="L117" i="4"/>
  <c r="K114" i="4"/>
  <c r="M141" i="4"/>
  <c r="L108" i="4"/>
  <c r="K136" i="4"/>
  <c r="K137" i="4" s="1"/>
  <c r="K144" i="4"/>
  <c r="K145" i="4" s="1"/>
  <c r="K139" i="4" s="1"/>
  <c r="I102" i="4"/>
  <c r="I104" i="4" s="1"/>
  <c r="E108" i="4"/>
  <c r="J72" i="4"/>
  <c r="C72" i="4"/>
  <c r="G72" i="4"/>
  <c r="E72" i="4"/>
  <c r="C102" i="4"/>
  <c r="H93" i="4"/>
  <c r="H120" i="4" s="1"/>
  <c r="F72" i="4"/>
  <c r="H72" i="4"/>
  <c r="B117" i="4" l="1"/>
  <c r="B122" i="4"/>
  <c r="G116" i="4"/>
  <c r="C117" i="4"/>
  <c r="D103" i="4"/>
  <c r="D122" i="4" s="1"/>
  <c r="M103" i="4"/>
  <c r="I117" i="4"/>
  <c r="E116" i="4"/>
  <c r="E117" i="4"/>
  <c r="K103" i="4"/>
  <c r="F117" i="4"/>
  <c r="G103" i="4"/>
  <c r="G122" i="4" s="1"/>
  <c r="E122" i="4"/>
  <c r="F103" i="4"/>
  <c r="F122" i="4" s="1"/>
  <c r="C104" i="4"/>
  <c r="C103" i="4"/>
  <c r="C122" i="4" s="1"/>
  <c r="B63" i="4"/>
  <c r="F66" i="4" s="1"/>
  <c r="E66" i="4"/>
  <c r="L144" i="4"/>
  <c r="L145" i="4" s="1"/>
  <c r="L139" i="4" s="1"/>
  <c r="L136" i="4"/>
  <c r="L137" i="4" s="1"/>
  <c r="I147" i="4"/>
  <c r="E130" i="4"/>
  <c r="E131" i="4" s="1"/>
  <c r="E87" i="4"/>
  <c r="L147" i="4"/>
  <c r="M136" i="4"/>
  <c r="M137" i="4" s="1"/>
  <c r="M144" i="4"/>
  <c r="M145" i="4" s="1"/>
  <c r="M139" i="4" s="1"/>
  <c r="H115" i="4"/>
  <c r="H122" i="4" s="1"/>
  <c r="H117" i="4"/>
  <c r="H130" i="4"/>
  <c r="H131" i="4" s="1"/>
  <c r="H87" i="4"/>
  <c r="G87" i="4"/>
  <c r="G130" i="4"/>
  <c r="G131" i="4" s="1"/>
  <c r="D96" i="4"/>
  <c r="D75" i="4"/>
  <c r="D76" i="4" s="1"/>
  <c r="D47" i="4" s="1"/>
  <c r="F87" i="4"/>
  <c r="F130" i="4"/>
  <c r="F131" i="4" s="1"/>
  <c r="D116" i="4"/>
  <c r="D74" i="4"/>
  <c r="D53" i="4"/>
  <c r="D54" i="4" s="1"/>
  <c r="D55" i="4" s="1"/>
  <c r="D50" i="4" s="1"/>
  <c r="D67" i="4"/>
  <c r="I144" i="4"/>
  <c r="I145" i="4" s="1"/>
  <c r="I139" i="4" s="1"/>
  <c r="C130" i="4"/>
  <c r="C131" i="4" s="1"/>
  <c r="C87" i="4"/>
  <c r="M147" i="4"/>
  <c r="B145" i="4"/>
  <c r="B139" i="4" s="1"/>
  <c r="B147" i="4"/>
  <c r="J130" i="4"/>
  <c r="J131" i="4" s="1"/>
  <c r="J87" i="4"/>
  <c r="K115" i="4"/>
  <c r="K117" i="4"/>
  <c r="J103" i="4"/>
  <c r="K94" i="4"/>
  <c r="K95" i="4" s="1"/>
  <c r="K73" i="4"/>
  <c r="M115" i="4"/>
  <c r="M117" i="4"/>
  <c r="K147" i="4"/>
  <c r="J115" i="4"/>
  <c r="J117" i="4" s="1"/>
  <c r="L116" i="4"/>
  <c r="L103" i="4"/>
  <c r="L122" i="4" s="1"/>
  <c r="I136" i="4"/>
  <c r="I137" i="4" s="1"/>
  <c r="I103" i="4"/>
  <c r="I122" i="4" s="1"/>
  <c r="M122" i="4" l="1"/>
  <c r="K122" i="4"/>
  <c r="K66" i="4"/>
  <c r="M66" i="4"/>
  <c r="N66" i="4" s="1"/>
  <c r="I66" i="4"/>
  <c r="H66" i="4"/>
  <c r="J122" i="4"/>
  <c r="B66" i="4"/>
  <c r="D66" i="4"/>
  <c r="D68" i="4" s="1"/>
  <c r="D46" i="4" s="1"/>
  <c r="J66" i="4"/>
  <c r="L66" i="4"/>
  <c r="G144" i="4"/>
  <c r="G145" i="4" s="1"/>
  <c r="G139" i="4" s="1"/>
  <c r="G136" i="4"/>
  <c r="G137" i="4" s="1"/>
  <c r="G147" i="4"/>
  <c r="B73" i="4"/>
  <c r="B94" i="4"/>
  <c r="B95" i="4" s="1"/>
  <c r="L149" i="4"/>
  <c r="L148" i="4"/>
  <c r="L82" i="4" s="1"/>
  <c r="L83" i="4" s="1"/>
  <c r="L48" i="4" s="1"/>
  <c r="K149" i="4"/>
  <c r="K148" i="4"/>
  <c r="K82" i="4" s="1"/>
  <c r="K83" i="4" s="1"/>
  <c r="K48" i="4" s="1"/>
  <c r="M148" i="4"/>
  <c r="M82" i="4" s="1"/>
  <c r="M83" i="4" s="1"/>
  <c r="M48" i="4" s="1"/>
  <c r="M149" i="4"/>
  <c r="F144" i="4"/>
  <c r="F145" i="4" s="1"/>
  <c r="F139" i="4" s="1"/>
  <c r="F136" i="4"/>
  <c r="F137" i="4" s="1"/>
  <c r="F147" i="4"/>
  <c r="H136" i="4"/>
  <c r="H137" i="4" s="1"/>
  <c r="H144" i="4"/>
  <c r="H145" i="4" s="1"/>
  <c r="H139" i="4" s="1"/>
  <c r="H147" i="4"/>
  <c r="E144" i="4"/>
  <c r="E145" i="4" s="1"/>
  <c r="E139" i="4" s="1"/>
  <c r="E136" i="4"/>
  <c r="E137" i="4" s="1"/>
  <c r="M116" i="4"/>
  <c r="K116" i="4"/>
  <c r="C144" i="4"/>
  <c r="C145" i="4" s="1"/>
  <c r="C139" i="4" s="1"/>
  <c r="C136" i="4"/>
  <c r="C137" i="4" s="1"/>
  <c r="K67" i="4"/>
  <c r="K68" i="4" s="1"/>
  <c r="K46" i="4" s="1"/>
  <c r="K74" i="4"/>
  <c r="K53" i="4"/>
  <c r="K54" i="4" s="1"/>
  <c r="K55" i="4" s="1"/>
  <c r="K50" i="4" s="1"/>
  <c r="I148" i="4"/>
  <c r="I82" i="4" s="1"/>
  <c r="I83" i="4" s="1"/>
  <c r="I48" i="4" s="1"/>
  <c r="I149" i="4"/>
  <c r="G66" i="4"/>
  <c r="J136" i="4"/>
  <c r="J137" i="4" s="1"/>
  <c r="J144" i="4"/>
  <c r="J145" i="4" s="1"/>
  <c r="J139" i="4" s="1"/>
  <c r="I73" i="4"/>
  <c r="I94" i="4"/>
  <c r="I95" i="4" s="1"/>
  <c r="D97" i="4"/>
  <c r="D98" i="4"/>
  <c r="H116" i="4"/>
  <c r="C66" i="4"/>
  <c r="J116" i="4"/>
  <c r="B148" i="4"/>
  <c r="B82" i="4" s="1"/>
  <c r="B83" i="4" s="1"/>
  <c r="B48" i="4" s="1"/>
  <c r="B149" i="4"/>
  <c r="M73" i="4"/>
  <c r="M94" i="4"/>
  <c r="M95" i="4" s="1"/>
  <c r="L73" i="4"/>
  <c r="L94" i="4"/>
  <c r="L95" i="4" s="1"/>
  <c r="B75" i="4" l="1"/>
  <c r="B76" i="4" s="1"/>
  <c r="B47" i="4" s="1"/>
  <c r="B96" i="4"/>
  <c r="D106" i="4"/>
  <c r="D99" i="4"/>
  <c r="D107" i="4" s="1"/>
  <c r="H149" i="4"/>
  <c r="H148" i="4"/>
  <c r="H82" i="4" s="1"/>
  <c r="H83" i="4" s="1"/>
  <c r="H48" i="4" s="1"/>
  <c r="I74" i="4"/>
  <c r="I67" i="4"/>
  <c r="I68" i="4" s="1"/>
  <c r="I46" i="4" s="1"/>
  <c r="I53" i="4"/>
  <c r="I54" i="4" s="1"/>
  <c r="I55" i="4" s="1"/>
  <c r="I50" i="4" s="1"/>
  <c r="J73" i="4"/>
  <c r="J94" i="4"/>
  <c r="J95" i="4" s="1"/>
  <c r="G148" i="4"/>
  <c r="G82" i="4" s="1"/>
  <c r="G83" i="4" s="1"/>
  <c r="G48" i="4" s="1"/>
  <c r="G149" i="4"/>
  <c r="C147" i="4"/>
  <c r="E73" i="4"/>
  <c r="E94" i="4"/>
  <c r="E95" i="4" s="1"/>
  <c r="B67" i="4"/>
  <c r="B68" i="4" s="1"/>
  <c r="B53" i="4"/>
  <c r="B74" i="4"/>
  <c r="L67" i="4"/>
  <c r="L68" i="4" s="1"/>
  <c r="L46" i="4" s="1"/>
  <c r="L53" i="4"/>
  <c r="L54" i="4" s="1"/>
  <c r="L55" i="4" s="1"/>
  <c r="L50" i="4" s="1"/>
  <c r="L74" i="4"/>
  <c r="F149" i="4"/>
  <c r="F148" i="4"/>
  <c r="F82" i="4" s="1"/>
  <c r="F83" i="4" s="1"/>
  <c r="F48" i="4" s="1"/>
  <c r="K96" i="4"/>
  <c r="K75" i="4"/>
  <c r="K76" i="4" s="1"/>
  <c r="K47" i="4" s="1"/>
  <c r="M67" i="4"/>
  <c r="M68" i="4" s="1"/>
  <c r="M46" i="4" s="1"/>
  <c r="M74" i="4"/>
  <c r="M53" i="4"/>
  <c r="M54" i="4" s="1"/>
  <c r="M55" i="4" s="1"/>
  <c r="M50" i="4" s="1"/>
  <c r="I96" i="4"/>
  <c r="I75" i="4"/>
  <c r="I76" i="4" s="1"/>
  <c r="I47" i="4" s="1"/>
  <c r="E147" i="4"/>
  <c r="F94" i="4"/>
  <c r="F95" i="4" s="1"/>
  <c r="F73" i="4"/>
  <c r="G73" i="4"/>
  <c r="G94" i="4"/>
  <c r="G95" i="4" s="1"/>
  <c r="M75" i="4"/>
  <c r="M76" i="4" s="1"/>
  <c r="M47" i="4" s="1"/>
  <c r="M96" i="4"/>
  <c r="H73" i="4"/>
  <c r="H94" i="4"/>
  <c r="H95" i="4" s="1"/>
  <c r="J147" i="4"/>
  <c r="C94" i="4"/>
  <c r="C95" i="4" s="1"/>
  <c r="C73" i="4"/>
  <c r="L96" i="4"/>
  <c r="L75" i="4"/>
  <c r="L76" i="4" s="1"/>
  <c r="L47" i="4" s="1"/>
  <c r="E149" i="4" l="1"/>
  <c r="E148" i="4"/>
  <c r="E82" i="4" s="1"/>
  <c r="E83" i="4" s="1"/>
  <c r="E48" i="4" s="1"/>
  <c r="J53" i="4"/>
  <c r="J54" i="4" s="1"/>
  <c r="J55" i="4" s="1"/>
  <c r="J50" i="4" s="1"/>
  <c r="J67" i="4"/>
  <c r="J68" i="4" s="1"/>
  <c r="J46" i="4" s="1"/>
  <c r="J74" i="4"/>
  <c r="I97" i="4"/>
  <c r="I98" i="4"/>
  <c r="E53" i="4"/>
  <c r="E54" i="4" s="1"/>
  <c r="E55" i="4" s="1"/>
  <c r="E50" i="4" s="1"/>
  <c r="E67" i="4"/>
  <c r="E68" i="4" s="1"/>
  <c r="E46" i="4" s="1"/>
  <c r="E74" i="4"/>
  <c r="L97" i="4"/>
  <c r="L98" i="4"/>
  <c r="C149" i="4"/>
  <c r="C148" i="4"/>
  <c r="C82" i="4" s="1"/>
  <c r="C83" i="4" s="1"/>
  <c r="C48" i="4" s="1"/>
  <c r="B97" i="4"/>
  <c r="B98" i="4"/>
  <c r="M98" i="4"/>
  <c r="M97" i="4"/>
  <c r="F96" i="4"/>
  <c r="F75" i="4"/>
  <c r="F76" i="4" s="1"/>
  <c r="F47" i="4" s="1"/>
  <c r="C53" i="4"/>
  <c r="C54" i="4" s="1"/>
  <c r="C55" i="4" s="1"/>
  <c r="C50" i="4" s="1"/>
  <c r="C67" i="4"/>
  <c r="C68" i="4" s="1"/>
  <c r="C46" i="4" s="1"/>
  <c r="C74" i="4"/>
  <c r="G74" i="4"/>
  <c r="G67" i="4"/>
  <c r="G68" i="4" s="1"/>
  <c r="G46" i="4" s="1"/>
  <c r="G53" i="4"/>
  <c r="G54" i="4" s="1"/>
  <c r="G55" i="4" s="1"/>
  <c r="G50" i="4" s="1"/>
  <c r="J149" i="4"/>
  <c r="J148" i="4"/>
  <c r="J82" i="4" s="1"/>
  <c r="J83" i="4" s="1"/>
  <c r="J48" i="4" s="1"/>
  <c r="F67" i="4"/>
  <c r="F68" i="4" s="1"/>
  <c r="F46" i="4" s="1"/>
  <c r="F74" i="4"/>
  <c r="F53" i="4"/>
  <c r="F54" i="4" s="1"/>
  <c r="F55" i="4" s="1"/>
  <c r="F50" i="4" s="1"/>
  <c r="H53" i="4"/>
  <c r="H54" i="4" s="1"/>
  <c r="H55" i="4" s="1"/>
  <c r="H50" i="4" s="1"/>
  <c r="H74" i="4"/>
  <c r="H67" i="4"/>
  <c r="H68" i="4" s="1"/>
  <c r="H46" i="4" s="1"/>
  <c r="B46" i="4"/>
  <c r="G75" i="4"/>
  <c r="G76" i="4" s="1"/>
  <c r="G47" i="4" s="1"/>
  <c r="G96" i="4"/>
  <c r="H96" i="4"/>
  <c r="H75" i="4"/>
  <c r="H76" i="4" s="1"/>
  <c r="H47" i="4" s="1"/>
  <c r="K97" i="4"/>
  <c r="K98" i="4"/>
  <c r="B54" i="4"/>
  <c r="D118" i="4"/>
  <c r="D119" i="4" s="1"/>
  <c r="D121" i="4" s="1"/>
  <c r="D123" i="4" s="1"/>
  <c r="D49" i="4" s="1"/>
  <c r="K106" i="4" l="1"/>
  <c r="K99" i="4"/>
  <c r="K107" i="4" s="1"/>
  <c r="H97" i="4"/>
  <c r="H98" i="4"/>
  <c r="B99" i="4"/>
  <c r="B107" i="4" s="1"/>
  <c r="B106" i="4"/>
  <c r="M99" i="4"/>
  <c r="M107" i="4" s="1"/>
  <c r="M106" i="4"/>
  <c r="G97" i="4"/>
  <c r="G98" i="4"/>
  <c r="C96" i="4"/>
  <c r="C75" i="4"/>
  <c r="C76" i="4" s="1"/>
  <c r="C47" i="4" s="1"/>
  <c r="N48" i="4"/>
  <c r="I99" i="4"/>
  <c r="I107" i="4" s="1"/>
  <c r="I106" i="4"/>
  <c r="N54" i="4"/>
  <c r="B55" i="4"/>
  <c r="N68" i="4"/>
  <c r="N53" i="4"/>
  <c r="N46" i="4"/>
  <c r="J75" i="4"/>
  <c r="J76" i="4" s="1"/>
  <c r="J47" i="4" s="1"/>
  <c r="J96" i="4"/>
  <c r="F97" i="4"/>
  <c r="F98" i="4"/>
  <c r="L99" i="4"/>
  <c r="L107" i="4" s="1"/>
  <c r="L106" i="4"/>
  <c r="E96" i="4"/>
  <c r="E75" i="4"/>
  <c r="E76" i="4" s="1"/>
  <c r="E47" i="4" s="1"/>
  <c r="M118" i="4" l="1"/>
  <c r="M119" i="4" s="1"/>
  <c r="M121" i="4" s="1"/>
  <c r="M123" i="4" s="1"/>
  <c r="M49" i="4" s="1"/>
  <c r="B118" i="4"/>
  <c r="B119" i="4" s="1"/>
  <c r="B121" i="4" s="1"/>
  <c r="B123" i="4" s="1"/>
  <c r="B49" i="4" s="1"/>
  <c r="B50" i="4"/>
  <c r="N55" i="4"/>
  <c r="N50" i="4" s="1"/>
  <c r="F99" i="4"/>
  <c r="F107" i="4" s="1"/>
  <c r="F106" i="4"/>
  <c r="I118" i="4"/>
  <c r="I119" i="4" s="1"/>
  <c r="I121" i="4" s="1"/>
  <c r="I123" i="4" s="1"/>
  <c r="I49" i="4" s="1"/>
  <c r="N47" i="4"/>
  <c r="L118" i="4"/>
  <c r="L119" i="4" s="1"/>
  <c r="L121" i="4" s="1"/>
  <c r="L123" i="4" s="1"/>
  <c r="L49" i="4" s="1"/>
  <c r="J97" i="4"/>
  <c r="J98" i="4"/>
  <c r="E97" i="4"/>
  <c r="E98" i="4"/>
  <c r="C98" i="4"/>
  <c r="C97" i="4"/>
  <c r="H106" i="4"/>
  <c r="H99" i="4"/>
  <c r="H107" i="4" s="1"/>
  <c r="G99" i="4"/>
  <c r="G107" i="4" s="1"/>
  <c r="G106" i="4"/>
  <c r="K118" i="4"/>
  <c r="K119" i="4" s="1"/>
  <c r="K121" i="4" s="1"/>
  <c r="K123" i="4" s="1"/>
  <c r="K49" i="4" s="1"/>
  <c r="F118" i="4" l="1"/>
  <c r="F119" i="4" s="1"/>
  <c r="F121" i="4" s="1"/>
  <c r="F123" i="4" s="1"/>
  <c r="F49" i="4" s="1"/>
  <c r="J99" i="4"/>
  <c r="J107" i="4" s="1"/>
  <c r="J106" i="4"/>
  <c r="H118" i="4"/>
  <c r="H119" i="4" s="1"/>
  <c r="H121" i="4" s="1"/>
  <c r="H123" i="4" s="1"/>
  <c r="H49" i="4" s="1"/>
  <c r="E99" i="4"/>
  <c r="E107" i="4" s="1"/>
  <c r="E106" i="4"/>
  <c r="G118" i="4"/>
  <c r="G119" i="4" s="1"/>
  <c r="G121" i="4" s="1"/>
  <c r="G123" i="4" s="1"/>
  <c r="G49" i="4" s="1"/>
  <c r="C99" i="4"/>
  <c r="C107" i="4" s="1"/>
  <c r="C106" i="4"/>
  <c r="C118" i="4" l="1"/>
  <c r="C119" i="4" s="1"/>
  <c r="C121" i="4" s="1"/>
  <c r="C123" i="4" s="1"/>
  <c r="C49" i="4" s="1"/>
  <c r="E118" i="4"/>
  <c r="E119" i="4" s="1"/>
  <c r="E121" i="4" s="1"/>
  <c r="E123" i="4" s="1"/>
  <c r="E49" i="4" s="1"/>
  <c r="J118" i="4"/>
  <c r="J119" i="4" s="1"/>
  <c r="J121" i="4" s="1"/>
  <c r="J123" i="4" s="1"/>
  <c r="J49" i="4" s="1"/>
  <c r="N49" i="4" l="1"/>
</calcChain>
</file>

<file path=xl/sharedStrings.xml><?xml version="1.0" encoding="utf-8"?>
<sst xmlns="http://schemas.openxmlformats.org/spreadsheetml/2006/main" count="255" uniqueCount="185">
  <si>
    <t>Día del año:</t>
  </si>
  <si>
    <t>Declinación (radianes)</t>
  </si>
  <si>
    <t>Declinación (grados)</t>
  </si>
  <si>
    <t>Latitud (grados)</t>
  </si>
  <si>
    <t>Ángulo horario (radianes)</t>
  </si>
  <si>
    <t>Ángulo horario (grados)</t>
  </si>
  <si>
    <t>Latitud (radianes)</t>
  </si>
  <si>
    <t xml:space="preserve">N (h/día) </t>
  </si>
  <si>
    <t>Ene</t>
  </si>
  <si>
    <t>Feb</t>
  </si>
  <si>
    <t>Mar</t>
  </si>
  <si>
    <t>Abr</t>
  </si>
  <si>
    <t>May</t>
  </si>
  <si>
    <t xml:space="preserve">Jul </t>
  </si>
  <si>
    <t>Ago</t>
  </si>
  <si>
    <t>Sep</t>
  </si>
  <si>
    <t>Oct</t>
  </si>
  <si>
    <t>Nov</t>
  </si>
  <si>
    <t>Dic</t>
  </si>
  <si>
    <t>Jun</t>
  </si>
  <si>
    <t>T-t</t>
  </si>
  <si>
    <t>Ra</t>
  </si>
  <si>
    <t>Corrección distancia Sol-Tierra</t>
  </si>
  <si>
    <t xml:space="preserve">Ra (cal/cm2·día) </t>
  </si>
  <si>
    <t xml:space="preserve">Ra (mm/día) </t>
  </si>
  <si>
    <t>ET referencia en mm/día</t>
  </si>
  <si>
    <t xml:space="preserve">Insolación n/N </t>
  </si>
  <si>
    <t>Rad. solar extraterrestre (MJ/m2·día)</t>
  </si>
  <si>
    <t>Día del año (del 1 -1/I- al 365 -31/XII-)</t>
  </si>
  <si>
    <t>Número de horas de Sol máximas (h/día)</t>
  </si>
  <si>
    <t xml:space="preserve">Ra (MJ/m2·día) </t>
  </si>
  <si>
    <t>Factor ci</t>
  </si>
  <si>
    <t>Factor fi</t>
  </si>
  <si>
    <t>HR&gt;50</t>
  </si>
  <si>
    <t>Rad. solar Rs (cal/cm2·día)</t>
  </si>
  <si>
    <t>Altitud (m)</t>
  </si>
  <si>
    <t>Presión atmosférica  kPa</t>
  </si>
  <si>
    <t>Presión atm. estimada  kPa</t>
  </si>
  <si>
    <t>Velocidad viento -anemómetro- (m/s)</t>
  </si>
  <si>
    <t>Altura del anemómetro m</t>
  </si>
  <si>
    <t>Velocidad del viento a 2 m (m/s)</t>
  </si>
  <si>
    <t>Rad. solar Rs (MJ/m2·día)</t>
  </si>
  <si>
    <t>Rad. día despejado sin nubes Rso MJ/m2·día</t>
  </si>
  <si>
    <t>Factor nubosidad f</t>
  </si>
  <si>
    <t>Tensión de vapor saturación T (máxima kPa "eº"</t>
  </si>
  <si>
    <t>Tensión de vapor saturación t (mínima) kPa "eº"</t>
  </si>
  <si>
    <t>Tensión de vapor real kPa "ea"</t>
  </si>
  <si>
    <t>eº-ea</t>
  </si>
  <si>
    <t>Emisividad neta (a1+b1*ea^0.5)</t>
  </si>
  <si>
    <t>Albedo</t>
  </si>
  <si>
    <t>Radiación neta entrante Rns (solar) MJ/m2·día</t>
  </si>
  <si>
    <t>Radiación neta saliente Rnl (onda larga) MJ/m2·día</t>
  </si>
  <si>
    <t>Flujo de calor en el suelo (período de mes)</t>
  </si>
  <si>
    <t>Temperatura media del mes previo (mes i-1) ºC</t>
  </si>
  <si>
    <t>Temperatura media del mes previo (mes i+1) ºC</t>
  </si>
  <si>
    <t>Días del mes</t>
  </si>
  <si>
    <t>Minutos:</t>
  </si>
  <si>
    <t>Latitud:</t>
  </si>
  <si>
    <t>Grados:</t>
  </si>
  <si>
    <t>Heliofanía Astronómica (h/día)</t>
  </si>
  <si>
    <t>Calor vaporización  "Cv"   (MJ/kg)</t>
  </si>
  <si>
    <t>Gradiente presión vapor satur  "Gsv"  (kPa/ºC)</t>
  </si>
  <si>
    <t xml:space="preserve">Cons. psicrométrica  "Cps" kPa/ºC  </t>
  </si>
  <si>
    <t>Cons. psicrom. modificada "Cps*"   kPa/ºC</t>
  </si>
  <si>
    <t>Gsv/(Gsv·Cps*)</t>
  </si>
  <si>
    <t>Cps/(Gsv·Cps*)</t>
  </si>
  <si>
    <t>Radiación neta  "Rn"</t>
  </si>
  <si>
    <t>"Rn-G"</t>
  </si>
  <si>
    <t>Función del viento  "f(u)"</t>
  </si>
  <si>
    <t>(Gsv/(Gsv+Cps*))·(1/Cv)·(Rn-G)</t>
  </si>
  <si>
    <t>(Cps/(Gsv+Cps*))·f(u)·(eº-e)</t>
  </si>
  <si>
    <t xml:space="preserve">CÁLCULO DE LA EVAPOTRANSPIRACIÓN POTENCIAL </t>
  </si>
  <si>
    <t>Año</t>
  </si>
  <si>
    <t>Altura de la estación (metros sobre el nivel del mar)</t>
  </si>
  <si>
    <t>Altura del anemómetro (metros)</t>
  </si>
  <si>
    <t>Velocidad viento (Km/h)</t>
  </si>
  <si>
    <t xml:space="preserve">Temperatura media (ºC)    </t>
  </si>
  <si>
    <t xml:space="preserve">Temp. media de máximas (ºC)  </t>
  </si>
  <si>
    <t xml:space="preserve">Temp. media de mínimas (ºC)   </t>
  </si>
  <si>
    <t>Heliofanía efectiva (hs/día)</t>
  </si>
  <si>
    <t>Humedad relativa (%)</t>
  </si>
  <si>
    <t>Presión atmosférica (hPa)</t>
  </si>
  <si>
    <t>Albedo (%)</t>
  </si>
  <si>
    <t>Información necesaria para los cálculos</t>
  </si>
  <si>
    <t>RESULTADOS</t>
  </si>
  <si>
    <t>TURC</t>
  </si>
  <si>
    <t>HARGREAVES</t>
  </si>
  <si>
    <t>PENMAN</t>
  </si>
  <si>
    <t>ET (Penman-Monteith) [mm/día]</t>
  </si>
  <si>
    <t>TORNTHWAITE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</si>
  <si>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</si>
  <si>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</si>
  <si>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</si>
  <si>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</si>
  <si>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</si>
  <si>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</si>
  <si>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</si>
  <si>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</si>
  <si>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</si>
  <si>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</si>
  <si>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</si>
  <si>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</si>
  <si>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</si>
  <si>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</t>
  </si>
  <si>
    <t>Cálculo del Indice Calorico Annual ( I ) y de a</t>
  </si>
  <si>
    <t>I</t>
  </si>
  <si>
    <t>a</t>
  </si>
  <si>
    <t>Cálculo de la EP sin ajustar</t>
  </si>
  <si>
    <t>ANUAL</t>
  </si>
  <si>
    <t>EP s/a</t>
  </si>
  <si>
    <t>Coef.</t>
  </si>
  <si>
    <t>EP</t>
  </si>
  <si>
    <t>ET (Thornthwaite)</t>
  </si>
  <si>
    <t xml:space="preserve">ET (Turc) </t>
  </si>
  <si>
    <t>ET (Hargreaves)</t>
  </si>
  <si>
    <t>EVAPOTRANSPIRACION POTENCIAL [mm/mes]</t>
  </si>
  <si>
    <t>ET (Penman-Monteith)</t>
  </si>
  <si>
    <t>La siguiente planilla de cálculo estima la Evapotranspiración potencial (ET) por distintos métodos.</t>
  </si>
  <si>
    <t>Thornthwaite</t>
  </si>
  <si>
    <t>Turc</t>
  </si>
  <si>
    <t>Penman</t>
  </si>
  <si>
    <t>Hargreaves</t>
  </si>
  <si>
    <t>Latuitud (en grados y minutos)</t>
  </si>
  <si>
    <t>Temp. media de máximas (°C)</t>
  </si>
  <si>
    <t>Temp. media de mínimas (°C)</t>
  </si>
  <si>
    <t>Temperatura media mensual (°C)</t>
  </si>
  <si>
    <t>Altura de la estación (metros)</t>
  </si>
  <si>
    <t>Datos</t>
  </si>
  <si>
    <t>Ingrese la Información necesaria para los cálculos</t>
  </si>
  <si>
    <t>los datos necesarios deacuerdo al autor elegido:</t>
  </si>
  <si>
    <t>Nombre de la Estación</t>
  </si>
  <si>
    <t>S</t>
  </si>
  <si>
    <t>(Ingresar S para Hemisferio Sur)</t>
  </si>
  <si>
    <t>Hemisferio       (Ingresar N para Hemisferio Norte)</t>
  </si>
  <si>
    <t>Latitud</t>
  </si>
  <si>
    <t>Los cuales necesitan de cierta información (datos) para poder realizarla, a continuación se detallan</t>
  </si>
  <si>
    <t>Metodologias</t>
  </si>
  <si>
    <t>Fórmulas</t>
  </si>
  <si>
    <r>
      <t>ETP = 16 × (10× tm / I )</t>
    </r>
    <r>
      <rPr>
        <vertAlign val="superscript"/>
        <sz val="10"/>
        <color indexed="8"/>
        <rFont val="Arial"/>
        <family val="2"/>
      </rPr>
      <t>a</t>
    </r>
  </si>
  <si>
    <r>
      <t>ETP</t>
    </r>
    <r>
      <rPr>
        <vertAlign val="subscript"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= f</t>
    </r>
    <r>
      <rPr>
        <vertAlign val="subscript"/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× [tm/(tm+15)] × [Rg</t>
    </r>
    <r>
      <rPr>
        <vertAlign val="subscript"/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+50] × c</t>
    </r>
    <r>
      <rPr>
        <vertAlign val="subscript"/>
        <sz val="10"/>
        <color indexed="8"/>
        <rFont val="Arial"/>
        <family val="2"/>
      </rPr>
      <t>i</t>
    </r>
  </si>
  <si>
    <r>
      <t xml:space="preserve">ETP = </t>
    </r>
    <r>
      <rPr>
        <sz val="10"/>
        <color indexed="56"/>
        <rFont val="Symbol"/>
        <family val="1"/>
        <charset val="2"/>
      </rPr>
      <t>D</t>
    </r>
    <r>
      <rPr>
        <sz val="10"/>
        <color indexed="56"/>
        <rFont val="Arial"/>
        <family val="2"/>
      </rPr>
      <t xml:space="preserve"> /(</t>
    </r>
    <r>
      <rPr>
        <sz val="10"/>
        <color indexed="56"/>
        <rFont val="Symbol"/>
        <family val="1"/>
        <charset val="2"/>
      </rPr>
      <t>D</t>
    </r>
    <r>
      <rPr>
        <sz val="10"/>
        <color indexed="56"/>
        <rFont val="Arial"/>
        <family val="2"/>
      </rPr>
      <t xml:space="preserve"> +</t>
    </r>
    <r>
      <rPr>
        <sz val="10"/>
        <color indexed="56"/>
        <rFont val="Symbol"/>
        <family val="1"/>
        <charset val="2"/>
      </rPr>
      <t>g</t>
    </r>
    <r>
      <rPr>
        <sz val="10"/>
        <color indexed="56"/>
        <rFont val="Arial"/>
        <family val="2"/>
      </rPr>
      <t xml:space="preserve"> </t>
    </r>
    <r>
      <rPr>
        <vertAlign val="superscript"/>
        <sz val="10"/>
        <color indexed="56"/>
        <rFont val="Arial"/>
        <family val="2"/>
      </rPr>
      <t>*</t>
    </r>
    <r>
      <rPr>
        <sz val="10"/>
        <color indexed="56"/>
        <rFont val="Arial"/>
        <family val="2"/>
      </rPr>
      <t xml:space="preserve">) </t>
    </r>
    <r>
      <rPr>
        <sz val="10"/>
        <color indexed="56"/>
        <rFont val="Symbol"/>
        <family val="1"/>
        <charset val="2"/>
      </rPr>
      <t>×</t>
    </r>
    <r>
      <rPr>
        <sz val="10"/>
        <color indexed="56"/>
        <rFont val="Arial"/>
        <family val="2"/>
      </rPr>
      <t xml:space="preserve"> (1/</t>
    </r>
    <r>
      <rPr>
        <sz val="10"/>
        <color indexed="56"/>
        <rFont val="Symbol"/>
        <family val="1"/>
        <charset val="2"/>
      </rPr>
      <t>l</t>
    </r>
    <r>
      <rPr>
        <sz val="10"/>
        <color indexed="56"/>
        <rFont val="Arial"/>
        <family val="2"/>
      </rPr>
      <t xml:space="preserve"> </t>
    </r>
    <r>
      <rPr>
        <vertAlign val="subscript"/>
        <sz val="10"/>
        <color indexed="56"/>
        <rFont val="Arial"/>
        <family val="2"/>
      </rPr>
      <t>v</t>
    </r>
    <r>
      <rPr>
        <vertAlign val="subscript"/>
        <sz val="10"/>
        <color indexed="56"/>
        <rFont val="Symbol"/>
        <family val="1"/>
        <charset val="2"/>
      </rPr>
      <t>×</t>
    </r>
    <r>
      <rPr>
        <vertAlign val="subscript"/>
        <sz val="10"/>
        <color indexed="56"/>
        <rFont val="Arial"/>
        <family val="2"/>
      </rPr>
      <t xml:space="preserve"> </t>
    </r>
    <r>
      <rPr>
        <sz val="10"/>
        <color indexed="56"/>
        <rFont val="Arial"/>
        <family val="2"/>
      </rPr>
      <t xml:space="preserve">{Rn-G}) + </t>
    </r>
    <r>
      <rPr>
        <sz val="10"/>
        <color indexed="56"/>
        <rFont val="Symbol"/>
        <family val="1"/>
        <charset val="2"/>
      </rPr>
      <t>g</t>
    </r>
    <r>
      <rPr>
        <sz val="10"/>
        <color indexed="56"/>
        <rFont val="Arial"/>
        <family val="2"/>
      </rPr>
      <t xml:space="preserve"> /(</t>
    </r>
    <r>
      <rPr>
        <sz val="10"/>
        <color indexed="56"/>
        <rFont val="Symbol"/>
        <family val="1"/>
        <charset val="2"/>
      </rPr>
      <t>D</t>
    </r>
    <r>
      <rPr>
        <sz val="10"/>
        <color indexed="56"/>
        <rFont val="Arial"/>
        <family val="2"/>
      </rPr>
      <t xml:space="preserve"> +</t>
    </r>
    <r>
      <rPr>
        <sz val="10"/>
        <color indexed="56"/>
        <rFont val="Symbol"/>
        <family val="1"/>
        <charset val="2"/>
      </rPr>
      <t>g</t>
    </r>
    <r>
      <rPr>
        <sz val="10"/>
        <color indexed="56"/>
        <rFont val="Arial"/>
        <family val="2"/>
      </rPr>
      <t xml:space="preserve"> </t>
    </r>
    <r>
      <rPr>
        <vertAlign val="superscript"/>
        <sz val="10"/>
        <color indexed="56"/>
        <rFont val="Arial"/>
        <family val="2"/>
      </rPr>
      <t>*</t>
    </r>
    <r>
      <rPr>
        <sz val="10"/>
        <color indexed="56"/>
        <rFont val="Arial"/>
        <family val="2"/>
      </rPr>
      <t>) · (900</t>
    </r>
    <r>
      <rPr>
        <sz val="10"/>
        <color indexed="56"/>
        <rFont val="Symbol"/>
        <family val="1"/>
        <charset val="2"/>
      </rPr>
      <t>×</t>
    </r>
    <r>
      <rPr>
        <sz val="10"/>
        <color indexed="56"/>
        <rFont val="Arial"/>
        <family val="2"/>
      </rPr>
      <t xml:space="preserve"> U</t>
    </r>
    <r>
      <rPr>
        <vertAlign val="subscript"/>
        <sz val="10"/>
        <color indexed="56"/>
        <rFont val="Arial"/>
        <family val="2"/>
      </rPr>
      <t>2</t>
    </r>
    <r>
      <rPr>
        <sz val="10"/>
        <color indexed="56"/>
        <rFont val="Arial"/>
        <family val="2"/>
      </rPr>
      <t>/{tm+273})</t>
    </r>
    <r>
      <rPr>
        <sz val="10"/>
        <color indexed="56"/>
        <rFont val="Symbol"/>
        <family val="1"/>
        <charset val="2"/>
      </rPr>
      <t>×</t>
    </r>
    <r>
      <rPr>
        <sz val="10"/>
        <color indexed="56"/>
        <rFont val="Arial"/>
        <family val="2"/>
      </rPr>
      <t xml:space="preserve"> (e</t>
    </r>
    <r>
      <rPr>
        <vertAlign val="subscript"/>
        <sz val="10"/>
        <color indexed="56"/>
        <rFont val="Arial"/>
        <family val="2"/>
      </rPr>
      <t>s</t>
    </r>
    <r>
      <rPr>
        <sz val="10"/>
        <color indexed="56"/>
        <rFont val="Arial"/>
        <family val="2"/>
      </rPr>
      <t xml:space="preserve"> - e</t>
    </r>
    <r>
      <rPr>
        <vertAlign val="subscript"/>
        <sz val="10"/>
        <color indexed="56"/>
        <rFont val="Arial"/>
        <family val="2"/>
      </rPr>
      <t>a</t>
    </r>
    <r>
      <rPr>
        <sz val="10"/>
        <color indexed="56"/>
        <rFont val="Arial"/>
        <family val="2"/>
      </rPr>
      <t>)</t>
    </r>
  </si>
  <si>
    <t>Donde:</t>
  </si>
  <si>
    <t>tm :</t>
  </si>
  <si>
    <t>tmax :</t>
  </si>
  <si>
    <t>tmin :</t>
  </si>
  <si>
    <t>I :</t>
  </si>
  <si>
    <t>a :</t>
  </si>
  <si>
    <t>Rgi :</t>
  </si>
  <si>
    <t>fi :</t>
  </si>
  <si>
    <t>ci :</t>
  </si>
  <si>
    <t>Ra :</t>
  </si>
  <si>
    <r>
      <t>ETP = 0,0023 × Ra × (tmax-tmin)</t>
    </r>
    <r>
      <rPr>
        <vertAlign val="superscript"/>
        <sz val="10"/>
        <color indexed="8"/>
        <rFont val="Arial"/>
        <family val="2"/>
      </rPr>
      <t xml:space="preserve">0,5 </t>
    </r>
    <r>
      <rPr>
        <sz val="10"/>
        <color indexed="8"/>
        <rFont val="Arial"/>
        <family val="2"/>
      </rPr>
      <t>×</t>
    </r>
    <r>
      <rPr>
        <vertAlign val="superscript"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(tm+17,8) </t>
    </r>
  </si>
  <si>
    <t>Temperatura maxima media (°C)</t>
  </si>
  <si>
    <t>Temperatura minima media (°C)</t>
  </si>
  <si>
    <t>Indice calorico anual</t>
  </si>
  <si>
    <t>Coeficiente que depende de "I"</t>
  </si>
  <si>
    <t>Factor de corrección mensual</t>
  </si>
  <si>
    <r>
      <t>Radiación Global estimada (cal × cm-</t>
    </r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× día</t>
    </r>
    <r>
      <rPr>
        <sz val="10"/>
        <rFont val="Arial"/>
        <family val="2"/>
      </rPr>
      <t>-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</si>
  <si>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t>Factor de corrección para zonas áridas</t>
  </si>
  <si>
    <t>Radiación Astronómica (mm/día)</t>
  </si>
  <si>
    <t>Rn :</t>
  </si>
  <si>
    <t>G :</t>
  </si>
  <si>
    <t>es - ea :</t>
  </si>
  <si>
    <t>Calor de vaporización MJ/kg</t>
  </si>
  <si>
    <t>Pendiente de la curva de tensión de vapor kPa/°C</t>
  </si>
  <si>
    <t>Constante Psicrométrica modificada en kPa/°C</t>
  </si>
  <si>
    <r>
      <t>Radiación neta en MJ/m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× día-</t>
    </r>
    <r>
      <rPr>
        <vertAlign val="superscript"/>
        <sz val="10"/>
        <rFont val="Arial"/>
        <family val="2"/>
      </rPr>
      <t>1</t>
    </r>
  </si>
  <si>
    <t>Flujo de calor en el suelo MJ/m2× día-1</t>
  </si>
  <si>
    <t>Velocidad del viento a 2 mts en m/s</t>
  </si>
  <si>
    <t>Deficit de presión de vapor en kPa</t>
  </si>
  <si>
    <r>
      <t>D</t>
    </r>
    <r>
      <rPr>
        <b/>
        <sz val="10"/>
        <rFont val="Arial"/>
        <family val="2"/>
      </rPr>
      <t xml:space="preserve"> :</t>
    </r>
  </si>
  <si>
    <r>
      <t>g</t>
    </r>
    <r>
      <rPr>
        <b/>
        <sz val="10"/>
        <rFont val="Arial"/>
        <family val="2"/>
      </rPr>
      <t>* :</t>
    </r>
  </si>
  <si>
    <r>
      <t xml:space="preserve">l </t>
    </r>
    <r>
      <rPr>
        <b/>
        <sz val="10"/>
        <rFont val="Arial"/>
        <family val="2"/>
      </rPr>
      <t>v</t>
    </r>
    <r>
      <rPr>
        <b/>
        <sz val="10"/>
        <rFont val="Arial"/>
        <family val="2"/>
      </rPr>
      <t xml:space="preserve"> :</t>
    </r>
  </si>
  <si>
    <r>
      <t>U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:</t>
    </r>
  </si>
  <si>
    <t>U.C. (Blanney y Criddle)</t>
  </si>
  <si>
    <t>Blanney y Criddle</t>
  </si>
  <si>
    <t>p</t>
  </si>
  <si>
    <t>f</t>
  </si>
  <si>
    <t>Kc (Coeficiente de cultivo)</t>
  </si>
  <si>
    <t>Kc</t>
  </si>
  <si>
    <t>Santo Domingo</t>
  </si>
  <si>
    <t>Hurtado R. y Fernández Long, María E. (2017)</t>
  </si>
  <si>
    <t>Cátedra de Climatología y Fenología agrícolas -Facultad de Agronomia-Universidad Buenos Aires</t>
  </si>
  <si>
    <t>Cátedra de Agroclimatología - Facultad de Ciencias Agrarias- Universidad Nacional de Jujuy.</t>
  </si>
  <si>
    <t>Penman-Monthet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</si>
</sst>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General_)"/>
    <numFmt numFmtId="167" formatCode="0.00_)"/>
  </numFmts>
  <fonts count="5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4"/>
      <name val="Arial"/>
      <family val="2"/>
    </font>
    <font>
      <b/>
      <sz val="10"/>
      <name val="Arial Narrow"/>
      <family val="2"/>
    </font>
    <font>
      <sz val="4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1"/>
      <name val="Marlett"/>
      <charset val="2"/>
    </font>
    <font>
      <sz val="11"/>
      <name val="Marlett"/>
      <charset val="2"/>
    </font>
    <font>
      <b/>
      <i/>
      <sz val="14"/>
      <name val="Arial"/>
      <family val="2"/>
    </font>
    <font>
      <sz val="8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i/>
      <sz val="8"/>
      <name val="Arial Narrow"/>
      <family val="2"/>
    </font>
    <font>
      <sz val="8"/>
      <name val="Arial Narrow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56"/>
      <name val="Arial"/>
      <family val="2"/>
    </font>
    <font>
      <vertAlign val="superscript"/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b/>
      <i/>
      <sz val="10"/>
      <color indexed="9"/>
      <name val="Arial"/>
      <family val="2"/>
    </font>
    <font>
      <sz val="10"/>
      <color indexed="56"/>
      <name val="Symbol"/>
      <family val="1"/>
      <charset val="2"/>
    </font>
    <font>
      <vertAlign val="superscript"/>
      <sz val="10"/>
      <color indexed="56"/>
      <name val="Arial"/>
      <family val="2"/>
    </font>
    <font>
      <vertAlign val="subscript"/>
      <sz val="10"/>
      <color indexed="56"/>
      <name val="Arial"/>
      <family val="2"/>
    </font>
    <font>
      <vertAlign val="subscript"/>
      <sz val="10"/>
      <color indexed="56"/>
      <name val="Symbol"/>
      <family val="1"/>
      <charset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color indexed="9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darkGray">
        <fgColor indexed="21"/>
        <bgColor indexed="17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24"/>
      </patternFill>
    </fill>
    <fill>
      <patternFill patternType="solid">
        <fgColor indexed="42"/>
        <bgColor indexed="64"/>
      </patternFill>
    </fill>
    <fill>
      <patternFill patternType="darkGray">
        <fgColor indexed="9"/>
        <bgColor indexed="13"/>
      </patternFill>
    </fill>
    <fill>
      <patternFill patternType="solid">
        <fgColor indexed="1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24"/>
      </patternFill>
    </fill>
    <fill>
      <patternFill patternType="solid">
        <fgColor rgb="FFFFFF99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23"/>
      </top>
      <bottom/>
      <diagonal/>
    </border>
    <border>
      <left/>
      <right style="double">
        <color indexed="64"/>
      </right>
      <top style="thin">
        <color indexed="23"/>
      </top>
      <bottom/>
      <diagonal/>
    </border>
    <border>
      <left style="double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double">
        <color indexed="64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/>
      <top style="thin">
        <color indexed="23"/>
      </top>
      <bottom style="double">
        <color indexed="64"/>
      </bottom>
      <diagonal/>
    </border>
    <border>
      <left/>
      <right/>
      <top style="thin">
        <color indexed="23"/>
      </top>
      <bottom style="double">
        <color indexed="64"/>
      </bottom>
      <diagonal/>
    </border>
    <border>
      <left/>
      <right style="double">
        <color indexed="64"/>
      </right>
      <top style="thin">
        <color indexed="23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23"/>
      </bottom>
      <diagonal/>
    </border>
    <border>
      <left/>
      <right/>
      <top style="double">
        <color indexed="64"/>
      </top>
      <bottom style="thin">
        <color indexed="23"/>
      </bottom>
      <diagonal/>
    </border>
    <border>
      <left/>
      <right style="double">
        <color indexed="64"/>
      </right>
      <top style="double">
        <color indexed="64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0"/>
      </right>
      <top style="thick">
        <color indexed="60"/>
      </top>
      <bottom style="medium">
        <color indexed="64"/>
      </bottom>
      <diagonal/>
    </border>
    <border>
      <left style="thick">
        <color indexed="60"/>
      </left>
      <right/>
      <top style="medium">
        <color indexed="64"/>
      </top>
      <bottom/>
      <diagonal/>
    </border>
    <border>
      <left/>
      <right style="thick">
        <color indexed="60"/>
      </right>
      <top style="medium">
        <color indexed="64"/>
      </top>
      <bottom/>
      <diagonal/>
    </border>
    <border>
      <left/>
      <right style="thick">
        <color indexed="60"/>
      </right>
      <top/>
      <bottom/>
      <diagonal/>
    </border>
    <border>
      <left style="thick">
        <color indexed="60"/>
      </left>
      <right/>
      <top/>
      <bottom style="double">
        <color indexed="64"/>
      </bottom>
      <diagonal/>
    </border>
    <border>
      <left/>
      <right style="thick">
        <color indexed="60"/>
      </right>
      <top/>
      <bottom style="double">
        <color indexed="64"/>
      </bottom>
      <diagonal/>
    </border>
    <border>
      <left style="thick">
        <color indexed="60"/>
      </left>
      <right/>
      <top/>
      <bottom/>
      <diagonal/>
    </border>
    <border>
      <left/>
      <right style="thick">
        <color indexed="60"/>
      </right>
      <top/>
      <bottom style="thick">
        <color indexed="6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0"/>
      </left>
      <right/>
      <top/>
      <bottom style="thick">
        <color indexed="60"/>
      </bottom>
      <diagonal/>
    </border>
    <border>
      <left/>
      <right/>
      <top/>
      <bottom style="thick">
        <color indexed="60"/>
      </bottom>
      <diagonal/>
    </border>
    <border>
      <left style="thick">
        <color indexed="60"/>
      </left>
      <right/>
      <top style="thick">
        <color indexed="60"/>
      </top>
      <bottom style="medium">
        <color indexed="64"/>
      </bottom>
      <diagonal/>
    </border>
    <border>
      <left/>
      <right/>
      <top style="thick">
        <color indexed="6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23"/>
      </top>
      <bottom style="thick">
        <color indexed="23"/>
      </bottom>
      <diagonal/>
    </border>
    <border>
      <left/>
      <right style="medium">
        <color indexed="64"/>
      </right>
      <top style="thin">
        <color indexed="23"/>
      </top>
      <bottom style="thick">
        <color indexed="23"/>
      </bottom>
      <diagonal/>
    </border>
    <border>
      <left style="medium">
        <color indexed="64"/>
      </left>
      <right/>
      <top style="thin">
        <color indexed="23"/>
      </top>
      <bottom style="medium">
        <color indexed="64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/>
      <right style="medium">
        <color indexed="64"/>
      </right>
      <top style="thin">
        <color indexed="23"/>
      </top>
      <bottom style="medium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0" fillId="0" borderId="0" xfId="0" applyFill="1" applyProtection="1">
      <protection locked="0"/>
    </xf>
    <xf numFmtId="0" fontId="11" fillId="4" borderId="0" xfId="0" applyFont="1" applyFill="1" applyBorder="1" applyAlignment="1" applyProtection="1">
      <protection locked="0"/>
    </xf>
    <xf numFmtId="164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 applyAlignment="1" applyProtection="1">
      <alignment horizontal="center"/>
    </xf>
    <xf numFmtId="1" fontId="15" fillId="5" borderId="2" xfId="0" applyNumberFormat="1" applyFont="1" applyFill="1" applyBorder="1" applyAlignment="1" applyProtection="1"/>
    <xf numFmtId="165" fontId="6" fillId="6" borderId="3" xfId="0" applyNumberFormat="1" applyFont="1" applyFill="1" applyBorder="1" applyProtection="1">
      <protection locked="0"/>
    </xf>
    <xf numFmtId="165" fontId="6" fillId="6" borderId="4" xfId="0" applyNumberFormat="1" applyFont="1" applyFill="1" applyBorder="1" applyProtection="1">
      <protection locked="0"/>
    </xf>
    <xf numFmtId="165" fontId="18" fillId="6" borderId="4" xfId="0" applyNumberFormat="1" applyFont="1" applyFill="1" applyBorder="1" applyAlignment="1" applyProtection="1">
      <protection locked="0"/>
    </xf>
    <xf numFmtId="1" fontId="18" fillId="7" borderId="5" xfId="0" applyNumberFormat="1" applyFont="1" applyFill="1" applyBorder="1" applyAlignment="1" applyProtection="1">
      <protection locked="0"/>
    </xf>
    <xf numFmtId="165" fontId="6" fillId="6" borderId="6" xfId="0" applyNumberFormat="1" applyFont="1" applyFill="1" applyBorder="1" applyProtection="1">
      <protection locked="0"/>
    </xf>
    <xf numFmtId="165" fontId="24" fillId="5" borderId="11" xfId="0" applyNumberFormat="1" applyFont="1" applyFill="1" applyBorder="1" applyAlignment="1" applyProtection="1">
      <protection locked="0"/>
    </xf>
    <xf numFmtId="0" fontId="7" fillId="0" borderId="0" xfId="0" applyFont="1"/>
    <xf numFmtId="0" fontId="5" fillId="0" borderId="0" xfId="0" applyFont="1" applyFill="1" applyBorder="1" applyProtection="1">
      <protection locked="0"/>
    </xf>
    <xf numFmtId="2" fontId="5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Border="1" applyProtection="1">
      <protection locked="0"/>
    </xf>
    <xf numFmtId="165" fontId="24" fillId="5" borderId="22" xfId="0" applyNumberFormat="1" applyFont="1" applyFill="1" applyBorder="1" applyAlignment="1" applyProtection="1">
      <protection locked="0"/>
    </xf>
    <xf numFmtId="0" fontId="5" fillId="0" borderId="17" xfId="0" applyFont="1" applyFill="1" applyBorder="1" applyProtection="1">
      <protection locked="0"/>
    </xf>
    <xf numFmtId="2" fontId="5" fillId="0" borderId="17" xfId="0" applyNumberFormat="1" applyFont="1" applyFill="1" applyBorder="1" applyProtection="1">
      <protection locked="0"/>
    </xf>
    <xf numFmtId="165" fontId="5" fillId="0" borderId="17" xfId="0" applyNumberFormat="1" applyFont="1" applyFill="1" applyBorder="1" applyProtection="1">
      <protection locked="0"/>
    </xf>
    <xf numFmtId="0" fontId="11" fillId="9" borderId="0" xfId="0" applyFont="1" applyFill="1" applyBorder="1" applyAlignment="1"/>
    <xf numFmtId="0" fontId="11" fillId="9" borderId="19" xfId="0" applyFont="1" applyFill="1" applyBorder="1" applyAlignment="1"/>
    <xf numFmtId="0" fontId="11" fillId="9" borderId="31" xfId="0" applyFont="1" applyFill="1" applyBorder="1" applyAlignment="1"/>
    <xf numFmtId="0" fontId="40" fillId="10" borderId="32" xfId="0" applyFont="1" applyFill="1" applyBorder="1" applyAlignment="1">
      <alignment horizontal="center"/>
    </xf>
    <xf numFmtId="0" fontId="11" fillId="9" borderId="33" xfId="0" applyFont="1" applyFill="1" applyBorder="1" applyAlignment="1"/>
    <xf numFmtId="0" fontId="11" fillId="11" borderId="34" xfId="0" applyFont="1" applyFill="1" applyBorder="1" applyAlignment="1"/>
    <xf numFmtId="0" fontId="11" fillId="11" borderId="35" xfId="0" applyFont="1" applyFill="1" applyBorder="1" applyAlignment="1"/>
    <xf numFmtId="0" fontId="11" fillId="9" borderId="36" xfId="0" applyFont="1" applyFill="1" applyBorder="1" applyAlignment="1"/>
    <xf numFmtId="0" fontId="11" fillId="11" borderId="37" xfId="0" applyFont="1" applyFill="1" applyBorder="1" applyAlignment="1"/>
    <xf numFmtId="0" fontId="11" fillId="9" borderId="38" xfId="0" applyFont="1" applyFill="1" applyBorder="1" applyAlignment="1"/>
    <xf numFmtId="0" fontId="37" fillId="11" borderId="35" xfId="0" applyFont="1" applyFill="1" applyBorder="1"/>
    <xf numFmtId="0" fontId="37" fillId="11" borderId="39" xfId="0" applyFont="1" applyFill="1" applyBorder="1"/>
    <xf numFmtId="0" fontId="47" fillId="12" borderId="0" xfId="0" applyFont="1" applyFill="1"/>
    <xf numFmtId="0" fontId="0" fillId="3" borderId="0" xfId="0" applyFill="1"/>
    <xf numFmtId="0" fontId="14" fillId="3" borderId="0" xfId="0" applyFont="1" applyFill="1"/>
    <xf numFmtId="0" fontId="48" fillId="3" borderId="0" xfId="0" applyFont="1" applyFill="1"/>
    <xf numFmtId="0" fontId="4" fillId="3" borderId="0" xfId="0" applyFont="1" applyFill="1"/>
    <xf numFmtId="0" fontId="0" fillId="4" borderId="66" xfId="0" applyFill="1" applyBorder="1" applyProtection="1">
      <protection locked="0"/>
    </xf>
    <xf numFmtId="0" fontId="21" fillId="2" borderId="66" xfId="0" applyFont="1" applyFill="1" applyBorder="1" applyAlignment="1" applyProtection="1">
      <alignment horizontal="center"/>
    </xf>
    <xf numFmtId="1" fontId="15" fillId="5" borderId="70" xfId="0" applyNumberFormat="1" applyFont="1" applyFill="1" applyBorder="1" applyAlignment="1" applyProtection="1"/>
    <xf numFmtId="1" fontId="15" fillId="5" borderId="72" xfId="0" applyNumberFormat="1" applyFont="1" applyFill="1" applyBorder="1" applyAlignment="1" applyProtection="1"/>
    <xf numFmtId="1" fontId="15" fillId="5" borderId="73" xfId="0" applyNumberFormat="1" applyFont="1" applyFill="1" applyBorder="1" applyAlignment="1" applyProtection="1"/>
    <xf numFmtId="165" fontId="18" fillId="3" borderId="5" xfId="0" applyNumberFormat="1" applyFont="1" applyFill="1" applyBorder="1" applyAlignment="1" applyProtection="1">
      <protection locked="0"/>
    </xf>
    <xf numFmtId="1" fontId="6" fillId="6" borderId="4" xfId="0" applyNumberFormat="1" applyFont="1" applyFill="1" applyBorder="1" applyProtection="1">
      <protection locked="0"/>
    </xf>
    <xf numFmtId="0" fontId="18" fillId="7" borderId="41" xfId="0" applyFont="1" applyFill="1" applyBorder="1" applyAlignment="1" applyProtection="1">
      <protection locked="0"/>
    </xf>
    <xf numFmtId="0" fontId="18" fillId="7" borderId="40" xfId="0" applyFont="1" applyFill="1" applyBorder="1" applyAlignment="1" applyProtection="1">
      <protection locked="0"/>
    </xf>
    <xf numFmtId="0" fontId="18" fillId="7" borderId="42" xfId="0" applyFont="1" applyFill="1" applyBorder="1" applyAlignment="1" applyProtection="1">
      <protection locked="0"/>
    </xf>
    <xf numFmtId="1" fontId="6" fillId="3" borderId="41" xfId="0" applyNumberFormat="1" applyFont="1" applyFill="1" applyBorder="1" applyProtection="1">
      <protection locked="0"/>
    </xf>
    <xf numFmtId="1" fontId="6" fillId="3" borderId="40" xfId="0" applyNumberFormat="1" applyFont="1" applyFill="1" applyBorder="1" applyProtection="1">
      <protection locked="0"/>
    </xf>
    <xf numFmtId="1" fontId="6" fillId="3" borderId="42" xfId="0" applyNumberFormat="1" applyFont="1" applyFill="1" applyBorder="1" applyProtection="1">
      <protection locked="0"/>
    </xf>
    <xf numFmtId="165" fontId="6" fillId="3" borderId="41" xfId="0" applyNumberFormat="1" applyFont="1" applyFill="1" applyBorder="1" applyProtection="1">
      <protection locked="0"/>
    </xf>
    <xf numFmtId="165" fontId="6" fillId="3" borderId="40" xfId="0" applyNumberFormat="1" applyFont="1" applyFill="1" applyBorder="1" applyProtection="1">
      <protection locked="0"/>
    </xf>
    <xf numFmtId="165" fontId="6" fillId="3" borderId="42" xfId="0" applyNumberFormat="1" applyFont="1" applyFill="1" applyBorder="1" applyProtection="1">
      <protection locked="0"/>
    </xf>
    <xf numFmtId="165" fontId="18" fillId="3" borderId="67" xfId="0" applyNumberFormat="1" applyFont="1" applyFill="1" applyBorder="1" applyAlignment="1" applyProtection="1">
      <protection locked="0"/>
    </xf>
    <xf numFmtId="165" fontId="18" fillId="3" borderId="68" xfId="0" applyNumberFormat="1" applyFont="1" applyFill="1" applyBorder="1" applyAlignment="1" applyProtection="1">
      <protection locked="0"/>
    </xf>
    <xf numFmtId="1" fontId="18" fillId="7" borderId="67" xfId="0" applyNumberFormat="1" applyFont="1" applyFill="1" applyBorder="1" applyAlignment="1" applyProtection="1">
      <protection locked="0"/>
    </xf>
    <xf numFmtId="1" fontId="18" fillId="7" borderId="68" xfId="0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4" borderId="66" xfId="0" applyFill="1" applyBorder="1" applyAlignment="1" applyProtection="1">
      <protection locked="0"/>
    </xf>
    <xf numFmtId="0" fontId="1" fillId="0" borderId="0" xfId="0" applyFont="1" applyFill="1" applyProtection="1">
      <protection locked="0"/>
    </xf>
    <xf numFmtId="166" fontId="25" fillId="8" borderId="7" xfId="0" applyNumberFormat="1" applyFont="1" applyFill="1" applyBorder="1" applyAlignment="1" applyProtection="1">
      <alignment horizontal="center"/>
      <protection locked="0"/>
    </xf>
    <xf numFmtId="0" fontId="4" fillId="8" borderId="41" xfId="0" applyFont="1" applyFill="1" applyBorder="1" applyAlignment="1" applyProtection="1">
      <protection locked="0"/>
    </xf>
    <xf numFmtId="0" fontId="4" fillId="8" borderId="42" xfId="0" applyFont="1" applyFill="1" applyBorder="1" applyAlignment="1" applyProtection="1">
      <protection locked="0"/>
    </xf>
    <xf numFmtId="0" fontId="13" fillId="8" borderId="0" xfId="0" applyFont="1" applyFill="1" applyBorder="1" applyAlignment="1" applyProtection="1">
      <alignment horizontal="left"/>
      <protection locked="0"/>
    </xf>
    <xf numFmtId="0" fontId="0" fillId="8" borderId="0" xfId="0" applyFill="1" applyBorder="1" applyProtection="1">
      <protection locked="0"/>
    </xf>
    <xf numFmtId="0" fontId="13" fillId="8" borderId="41" xfId="0" applyFont="1" applyFill="1" applyBorder="1" applyAlignment="1" applyProtection="1">
      <alignment horizontal="left"/>
      <protection locked="0"/>
    </xf>
    <xf numFmtId="0" fontId="4" fillId="8" borderId="40" xfId="0" applyFont="1" applyFill="1" applyBorder="1" applyAlignment="1" applyProtection="1">
      <protection locked="0"/>
    </xf>
    <xf numFmtId="0" fontId="7" fillId="0" borderId="0" xfId="0" applyFont="1" applyProtection="1">
      <protection locked="0"/>
    </xf>
    <xf numFmtId="0" fontId="14" fillId="0" borderId="0" xfId="0" applyFont="1" applyFill="1" applyBorder="1" applyAlignment="1" applyProtection="1">
      <protection locked="0"/>
    </xf>
    <xf numFmtId="0" fontId="50" fillId="0" borderId="0" xfId="0" applyFont="1" applyFill="1" applyAlignment="1" applyProtection="1">
      <protection locked="0"/>
    </xf>
    <xf numFmtId="166" fontId="18" fillId="8" borderId="8" xfId="0" applyNumberFormat="1" applyFont="1" applyFill="1" applyBorder="1" applyAlignment="1" applyProtection="1">
      <alignment horizontal="left"/>
      <protection locked="0"/>
    </xf>
    <xf numFmtId="0" fontId="26" fillId="8" borderId="43" xfId="0" applyFont="1" applyFill="1" applyBorder="1" applyAlignment="1" applyProtection="1">
      <protection locked="0"/>
    </xf>
    <xf numFmtId="0" fontId="26" fillId="8" borderId="50" xfId="0" applyFont="1" applyFill="1" applyBorder="1" applyAlignment="1" applyProtection="1">
      <protection locked="0"/>
    </xf>
    <xf numFmtId="0" fontId="26" fillId="8" borderId="56" xfId="0" applyFont="1" applyFill="1" applyBorder="1" applyAlignment="1" applyProtection="1">
      <protection locked="0"/>
    </xf>
    <xf numFmtId="0" fontId="50" fillId="0" borderId="0" xfId="0" applyFont="1" applyFill="1" applyProtection="1">
      <protection locked="0"/>
    </xf>
    <xf numFmtId="166" fontId="18" fillId="8" borderId="9" xfId="0" applyNumberFormat="1" applyFont="1" applyFill="1" applyBorder="1" applyAlignment="1" applyProtection="1">
      <alignment horizontal="left"/>
      <protection locked="0"/>
    </xf>
    <xf numFmtId="0" fontId="26" fillId="8" borderId="44" xfId="0" applyFont="1" applyFill="1" applyBorder="1" applyAlignment="1" applyProtection="1">
      <protection locked="0"/>
    </xf>
    <xf numFmtId="0" fontId="26" fillId="8" borderId="51" xfId="0" applyFont="1" applyFill="1" applyBorder="1" applyAlignment="1" applyProtection="1">
      <protection locked="0"/>
    </xf>
    <xf numFmtId="0" fontId="27" fillId="8" borderId="48" xfId="0" applyFont="1" applyFill="1" applyBorder="1" applyAlignment="1" applyProtection="1">
      <protection locked="0"/>
    </xf>
    <xf numFmtId="0" fontId="6" fillId="8" borderId="44" xfId="0" applyFont="1" applyFill="1" applyBorder="1" applyAlignment="1" applyProtection="1">
      <protection locked="0"/>
    </xf>
    <xf numFmtId="0" fontId="6" fillId="8" borderId="45" xfId="0" applyFont="1" applyFill="1" applyBorder="1" applyAlignment="1" applyProtection="1">
      <protection locked="0"/>
    </xf>
    <xf numFmtId="0" fontId="6" fillId="8" borderId="48" xfId="0" applyFont="1" applyFill="1" applyBorder="1" applyAlignment="1" applyProtection="1">
      <protection locked="0"/>
    </xf>
    <xf numFmtId="0" fontId="18" fillId="8" borderId="9" xfId="0" applyFont="1" applyFill="1" applyBorder="1" applyAlignment="1" applyProtection="1">
      <alignment horizontal="left"/>
      <protection locked="0"/>
    </xf>
    <xf numFmtId="0" fontId="6" fillId="8" borderId="45" xfId="0" applyFont="1" applyFill="1" applyBorder="1" applyAlignment="1" applyProtection="1">
      <alignment horizontal="center"/>
      <protection locked="0"/>
    </xf>
    <xf numFmtId="0" fontId="18" fillId="8" borderId="9" xfId="0" applyNumberFormat="1" applyFont="1" applyFill="1" applyBorder="1" applyAlignment="1" applyProtection="1">
      <alignment horizontal="left"/>
      <protection locked="0"/>
    </xf>
    <xf numFmtId="0" fontId="6" fillId="8" borderId="9" xfId="0" applyFont="1" applyFill="1" applyBorder="1" applyProtection="1">
      <protection locked="0"/>
    </xf>
    <xf numFmtId="0" fontId="6" fillId="8" borderId="52" xfId="0" applyFont="1" applyFill="1" applyBorder="1" applyProtection="1">
      <protection locked="0"/>
    </xf>
    <xf numFmtId="0" fontId="6" fillId="8" borderId="53" xfId="0" applyFont="1" applyFill="1" applyBorder="1" applyAlignment="1" applyProtection="1">
      <protection locked="0"/>
    </xf>
    <xf numFmtId="0" fontId="6" fillId="8" borderId="54" xfId="0" applyFont="1" applyFill="1" applyBorder="1" applyAlignment="1" applyProtection="1">
      <protection locked="0"/>
    </xf>
    <xf numFmtId="0" fontId="6" fillId="8" borderId="55" xfId="0" applyFont="1" applyFill="1" applyBorder="1" applyAlignment="1" applyProtection="1">
      <protection locked="0"/>
    </xf>
    <xf numFmtId="0" fontId="6" fillId="8" borderId="54" xfId="0" applyFont="1" applyFill="1" applyBorder="1" applyAlignment="1" applyProtection="1">
      <alignment horizontal="center"/>
      <protection locked="0"/>
    </xf>
    <xf numFmtId="0" fontId="6" fillId="8" borderId="10" xfId="0" applyFont="1" applyFill="1" applyBorder="1" applyProtection="1">
      <protection locked="0"/>
    </xf>
    <xf numFmtId="0" fontId="6" fillId="8" borderId="46" xfId="0" applyFont="1" applyFill="1" applyBorder="1" applyAlignment="1" applyProtection="1">
      <protection locked="0"/>
    </xf>
    <xf numFmtId="0" fontId="6" fillId="8" borderId="47" xfId="0" applyFont="1" applyFill="1" applyBorder="1" applyAlignment="1" applyProtection="1">
      <protection locked="0"/>
    </xf>
    <xf numFmtId="0" fontId="26" fillId="8" borderId="47" xfId="0" applyFont="1" applyFill="1" applyBorder="1" applyAlignment="1" applyProtection="1">
      <protection locked="0"/>
    </xf>
    <xf numFmtId="0" fontId="6" fillId="8" borderId="49" xfId="0" applyFont="1" applyFill="1" applyBorder="1" applyAlignment="1" applyProtection="1">
      <protection locked="0"/>
    </xf>
    <xf numFmtId="0" fontId="6" fillId="8" borderId="47" xfId="0" applyFont="1" applyFill="1" applyBorder="1" applyAlignment="1" applyProtection="1">
      <alignment horizontal="center"/>
      <protection locked="0"/>
    </xf>
    <xf numFmtId="0" fontId="26" fillId="8" borderId="46" xfId="0" applyFont="1" applyFill="1" applyBorder="1" applyAlignment="1" applyProtection="1">
      <protection locked="0"/>
    </xf>
    <xf numFmtId="0" fontId="27" fillId="8" borderId="49" xfId="0" applyFont="1" applyFill="1" applyBorder="1" applyAlignment="1" applyProtection="1">
      <protection locked="0"/>
    </xf>
    <xf numFmtId="0" fontId="4" fillId="4" borderId="65" xfId="0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15" fillId="4" borderId="65" xfId="0" applyFont="1" applyFill="1" applyBorder="1" applyAlignment="1" applyProtection="1">
      <alignment horizontal="left"/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1" fontId="0" fillId="0" borderId="0" xfId="0" applyNumberFormat="1" applyFill="1" applyProtection="1">
      <protection locked="0"/>
    </xf>
    <xf numFmtId="1" fontId="0" fillId="0" borderId="0" xfId="0" applyNumberFormat="1" applyProtection="1">
      <protection locked="0"/>
    </xf>
    <xf numFmtId="0" fontId="12" fillId="2" borderId="65" xfId="0" applyFont="1" applyFill="1" applyBorder="1" applyAlignment="1" applyProtection="1">
      <alignment horizontal="left"/>
      <protection locked="0"/>
    </xf>
    <xf numFmtId="164" fontId="12" fillId="2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center"/>
      <protection locked="0"/>
    </xf>
    <xf numFmtId="0" fontId="12" fillId="2" borderId="66" xfId="0" applyFont="1" applyFill="1" applyBorder="1" applyAlignment="1" applyProtection="1">
      <alignment horizontal="center"/>
      <protection locked="0"/>
    </xf>
    <xf numFmtId="0" fontId="13" fillId="4" borderId="65" xfId="0" applyFont="1" applyFill="1" applyBorder="1" applyAlignment="1" applyProtection="1">
      <alignment horizontal="left"/>
      <protection locked="0"/>
    </xf>
    <xf numFmtId="165" fontId="0" fillId="15" borderId="41" xfId="0" applyNumberFormat="1" applyFill="1" applyBorder="1" applyProtection="1">
      <protection locked="0"/>
    </xf>
    <xf numFmtId="165" fontId="0" fillId="15" borderId="40" xfId="0" applyNumberFormat="1" applyFill="1" applyBorder="1" applyProtection="1">
      <protection locked="0"/>
    </xf>
    <xf numFmtId="165" fontId="0" fillId="15" borderId="42" xfId="0" applyNumberFormat="1" applyFill="1" applyBorder="1" applyProtection="1">
      <protection locked="0"/>
    </xf>
    <xf numFmtId="0" fontId="13" fillId="4" borderId="65" xfId="0" applyNumberFormat="1" applyFont="1" applyFill="1" applyBorder="1" applyAlignment="1" applyProtection="1">
      <alignment horizontal="left"/>
      <protection locked="0"/>
    </xf>
    <xf numFmtId="0" fontId="9" fillId="4" borderId="65" xfId="0" applyFont="1" applyFill="1" applyBorder="1" applyProtection="1">
      <protection locked="0"/>
    </xf>
    <xf numFmtId="165" fontId="6" fillId="3" borderId="67" xfId="0" applyNumberFormat="1" applyFont="1" applyFill="1" applyBorder="1" applyProtection="1">
      <protection locked="0"/>
    </xf>
    <xf numFmtId="165" fontId="6" fillId="3" borderId="5" xfId="0" applyNumberFormat="1" applyFont="1" applyFill="1" applyBorder="1" applyProtection="1">
      <protection locked="0"/>
    </xf>
    <xf numFmtId="165" fontId="6" fillId="3" borderId="68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165" fontId="0" fillId="4" borderId="0" xfId="0" applyNumberFormat="1" applyFill="1" applyBorder="1" applyProtection="1">
      <protection locked="0"/>
    </xf>
    <xf numFmtId="1" fontId="6" fillId="3" borderId="4" xfId="0" applyNumberFormat="1" applyFont="1" applyFill="1" applyBorder="1" applyProtection="1">
      <protection locked="0"/>
    </xf>
    <xf numFmtId="0" fontId="6" fillId="3" borderId="6" xfId="0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1" fontId="15" fillId="0" borderId="0" xfId="0" applyNumberFormat="1" applyFont="1" applyFill="1" applyBorder="1" applyAlignment="1" applyProtection="1"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22" fillId="0" borderId="13" xfId="0" applyFont="1" applyFill="1" applyBorder="1" applyAlignment="1" applyProtection="1">
      <alignment horizontal="left"/>
      <protection locked="0"/>
    </xf>
    <xf numFmtId="167" fontId="7" fillId="0" borderId="14" xfId="0" applyNumberFormat="1" applyFont="1" applyBorder="1" applyProtection="1">
      <protection locked="0"/>
    </xf>
    <xf numFmtId="1" fontId="45" fillId="5" borderId="30" xfId="0" applyNumberFormat="1" applyFont="1" applyFill="1" applyBorder="1" applyAlignment="1" applyProtection="1">
      <protection locked="0"/>
    </xf>
    <xf numFmtId="0" fontId="22" fillId="0" borderId="16" xfId="0" applyFont="1" applyFill="1" applyBorder="1" applyAlignment="1" applyProtection="1">
      <alignment horizontal="left"/>
      <protection locked="0"/>
    </xf>
    <xf numFmtId="167" fontId="7" fillId="0" borderId="0" xfId="0" applyNumberFormat="1" applyFont="1" applyBorder="1" applyProtection="1">
      <protection locked="0"/>
    </xf>
    <xf numFmtId="1" fontId="45" fillId="5" borderId="24" xfId="0" applyNumberFormat="1" applyFont="1" applyFill="1" applyBorder="1" applyAlignment="1" applyProtection="1">
      <protection locked="0"/>
    </xf>
    <xf numFmtId="0" fontId="22" fillId="0" borderId="18" xfId="0" applyFont="1" applyFill="1" applyBorder="1" applyAlignment="1" applyProtection="1">
      <alignment horizontal="left"/>
      <protection locked="0"/>
    </xf>
    <xf numFmtId="1" fontId="45" fillId="5" borderId="26" xfId="0" applyNumberFormat="1" applyFont="1" applyFill="1" applyBorder="1" applyAlignment="1" applyProtection="1">
      <protection locked="0"/>
    </xf>
    <xf numFmtId="1" fontId="45" fillId="5" borderId="27" xfId="0" applyNumberFormat="1" applyFont="1" applyFill="1" applyBorder="1" applyAlignment="1" applyProtection="1">
      <protection locked="0"/>
    </xf>
    <xf numFmtId="0" fontId="30" fillId="0" borderId="0" xfId="0" applyFont="1" applyFill="1" applyBorder="1" applyAlignment="1" applyProtection="1">
      <alignment horizontal="left"/>
      <protection locked="0"/>
    </xf>
    <xf numFmtId="1" fontId="5" fillId="0" borderId="0" xfId="0" applyNumberFormat="1" applyFont="1" applyFill="1" applyBorder="1" applyAlignment="1" applyProtection="1">
      <protection locked="0"/>
    </xf>
    <xf numFmtId="1" fontId="2" fillId="0" borderId="0" xfId="0" applyNumberFormat="1" applyFont="1" applyFill="1" applyBorder="1" applyAlignment="1" applyProtection="1">
      <protection locked="0"/>
    </xf>
    <xf numFmtId="1" fontId="5" fillId="0" borderId="0" xfId="0" applyNumberFormat="1" applyFont="1" applyFill="1" applyBorder="1" applyProtection="1">
      <protection locked="0"/>
    </xf>
    <xf numFmtId="0" fontId="5" fillId="0" borderId="0" xfId="0" applyFont="1" applyProtection="1">
      <protection locked="0"/>
    </xf>
    <xf numFmtId="1" fontId="23" fillId="0" borderId="0" xfId="0" applyNumberFormat="1" applyFont="1" applyFill="1" applyBorder="1" applyProtection="1">
      <protection locked="0"/>
    </xf>
    <xf numFmtId="165" fontId="7" fillId="0" borderId="0" xfId="0" applyNumberFormat="1" applyFont="1" applyFill="1" applyProtection="1">
      <protection locked="0"/>
    </xf>
    <xf numFmtId="0" fontId="31" fillId="0" borderId="0" xfId="0" applyFont="1" applyFill="1" applyBorder="1" applyProtection="1">
      <protection locked="0"/>
    </xf>
    <xf numFmtId="167" fontId="24" fillId="0" borderId="13" xfId="0" applyNumberFormat="1" applyFont="1" applyFill="1" applyBorder="1" applyAlignment="1" applyProtection="1">
      <alignment horizontal="left"/>
      <protection locked="0"/>
    </xf>
    <xf numFmtId="167" fontId="24" fillId="0" borderId="14" xfId="0" applyNumberFormat="1" applyFont="1" applyFill="1" applyBorder="1" applyAlignment="1" applyProtection="1">
      <alignment horizontal="center"/>
      <protection locked="0"/>
    </xf>
    <xf numFmtId="165" fontId="5" fillId="0" borderId="15" xfId="0" applyNumberFormat="1" applyFont="1" applyFill="1" applyBorder="1" applyProtection="1">
      <protection locked="0"/>
    </xf>
    <xf numFmtId="167" fontId="24" fillId="0" borderId="16" xfId="0" applyNumberFormat="1" applyFont="1" applyFill="1" applyBorder="1" applyAlignment="1" applyProtection="1">
      <alignment horizontal="left"/>
      <protection locked="0"/>
    </xf>
    <xf numFmtId="167" fontId="5" fillId="0" borderId="0" xfId="0" applyNumberFormat="1" applyFont="1" applyBorder="1" applyProtection="1">
      <protection locked="0"/>
    </xf>
    <xf numFmtId="0" fontId="5" fillId="0" borderId="0" xfId="0" applyFont="1" applyBorder="1" applyProtection="1">
      <protection locked="0"/>
    </xf>
    <xf numFmtId="166" fontId="24" fillId="0" borderId="16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Border="1" applyProtection="1">
      <protection locked="0"/>
    </xf>
    <xf numFmtId="0" fontId="5" fillId="0" borderId="17" xfId="0" applyFont="1" applyBorder="1" applyProtection="1">
      <protection locked="0"/>
    </xf>
    <xf numFmtId="167" fontId="24" fillId="0" borderId="0" xfId="0" applyNumberFormat="1" applyFont="1" applyFill="1" applyBorder="1" applyAlignment="1" applyProtection="1">
      <alignment horizontal="center"/>
      <protection locked="0"/>
    </xf>
    <xf numFmtId="167" fontId="24" fillId="0" borderId="17" xfId="0" applyNumberFormat="1" applyFont="1" applyFill="1" applyBorder="1" applyAlignment="1" applyProtection="1">
      <alignment horizontal="center"/>
      <protection locked="0"/>
    </xf>
    <xf numFmtId="165" fontId="5" fillId="0" borderId="0" xfId="0" applyNumberFormat="1" applyFont="1" applyBorder="1" applyProtection="1">
      <protection locked="0"/>
    </xf>
    <xf numFmtId="165" fontId="5" fillId="0" borderId="17" xfId="0" applyNumberFormat="1" applyFont="1" applyBorder="1" applyProtection="1">
      <protection locked="0"/>
    </xf>
    <xf numFmtId="167" fontId="24" fillId="0" borderId="18" xfId="0" applyNumberFormat="1" applyFont="1" applyFill="1" applyBorder="1" applyAlignment="1" applyProtection="1">
      <alignment horizontal="left"/>
      <protection locked="0"/>
    </xf>
    <xf numFmtId="1" fontId="5" fillId="0" borderId="19" xfId="0" applyNumberFormat="1" applyFont="1" applyBorder="1" applyAlignment="1" applyProtection="1">
      <alignment horizontal="center"/>
      <protection locked="0"/>
    </xf>
    <xf numFmtId="1" fontId="5" fillId="0" borderId="20" xfId="0" applyNumberFormat="1" applyFont="1" applyBorder="1" applyAlignment="1" applyProtection="1">
      <alignment horizontal="center"/>
      <protection locked="0"/>
    </xf>
    <xf numFmtId="167" fontId="24" fillId="0" borderId="0" xfId="0" applyNumberFormat="1" applyFont="1" applyFill="1" applyAlignment="1" applyProtection="1">
      <alignment horizontal="left"/>
      <protection locked="0"/>
    </xf>
    <xf numFmtId="167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167" fontId="30" fillId="0" borderId="0" xfId="0" applyNumberFormat="1" applyFont="1" applyFill="1" applyAlignment="1" applyProtection="1">
      <alignment horizontal="left"/>
      <protection locked="0"/>
    </xf>
    <xf numFmtId="0" fontId="35" fillId="0" borderId="0" xfId="0" applyFont="1" applyFill="1" applyBorder="1" applyAlignment="1" applyProtection="1">
      <alignment horizontal="center"/>
      <protection locked="0"/>
    </xf>
    <xf numFmtId="0" fontId="29" fillId="0" borderId="13" xfId="0" applyFont="1" applyFill="1" applyBorder="1" applyAlignment="1" applyProtection="1">
      <alignment horizontal="left"/>
      <protection locked="0"/>
    </xf>
    <xf numFmtId="1" fontId="5" fillId="0" borderId="14" xfId="0" applyNumberFormat="1" applyFont="1" applyFill="1" applyBorder="1" applyAlignment="1" applyProtection="1">
      <alignment horizontal="right"/>
      <protection locked="0"/>
    </xf>
    <xf numFmtId="1" fontId="5" fillId="0" borderId="15" xfId="0" applyNumberFormat="1" applyFont="1" applyFill="1" applyBorder="1" applyAlignment="1" applyProtection="1">
      <alignment horizontal="right"/>
      <protection locked="0"/>
    </xf>
    <xf numFmtId="1" fontId="7" fillId="0" borderId="0" xfId="0" applyNumberFormat="1" applyFont="1" applyFill="1" applyProtection="1">
      <protection locked="0"/>
    </xf>
    <xf numFmtId="0" fontId="32" fillId="5" borderId="21" xfId="0" applyFont="1" applyFill="1" applyBorder="1" applyAlignment="1" applyProtection="1">
      <alignment horizontal="left"/>
      <protection locked="0"/>
    </xf>
    <xf numFmtId="0" fontId="7" fillId="0" borderId="0" xfId="0" applyFont="1" applyFill="1" applyProtection="1">
      <protection locked="0"/>
    </xf>
    <xf numFmtId="0" fontId="24" fillId="0" borderId="16" xfId="0" applyFont="1" applyFill="1" applyBorder="1" applyAlignment="1" applyProtection="1">
      <alignment horizontal="left"/>
      <protection locked="0"/>
    </xf>
    <xf numFmtId="165" fontId="24" fillId="0" borderId="0" xfId="0" applyNumberFormat="1" applyFont="1" applyFill="1" applyBorder="1" applyAlignment="1" applyProtection="1">
      <protection locked="0"/>
    </xf>
    <xf numFmtId="165" fontId="24" fillId="0" borderId="17" xfId="0" applyNumberFormat="1" applyFont="1" applyFill="1" applyBorder="1" applyAlignment="1" applyProtection="1">
      <protection locked="0"/>
    </xf>
    <xf numFmtId="0" fontId="24" fillId="5" borderId="23" xfId="0" applyFont="1" applyFill="1" applyBorder="1" applyAlignment="1" applyProtection="1">
      <alignment horizontal="left"/>
      <protection locked="0"/>
    </xf>
    <xf numFmtId="2" fontId="24" fillId="0" borderId="12" xfId="0" applyNumberFormat="1" applyFont="1" applyFill="1" applyBorder="1" applyAlignment="1" applyProtection="1">
      <protection locked="0"/>
    </xf>
    <xf numFmtId="2" fontId="24" fillId="0" borderId="24" xfId="0" applyNumberFormat="1" applyFont="1" applyFill="1" applyBorder="1" applyAlignment="1" applyProtection="1">
      <protection locked="0"/>
    </xf>
    <xf numFmtId="1" fontId="24" fillId="0" borderId="12" xfId="0" applyNumberFormat="1" applyFont="1" applyFill="1" applyBorder="1" applyAlignment="1" applyProtection="1">
      <protection locked="0"/>
    </xf>
    <xf numFmtId="1" fontId="24" fillId="0" borderId="24" xfId="0" applyNumberFormat="1" applyFont="1" applyFill="1" applyBorder="1" applyAlignment="1" applyProtection="1">
      <protection locked="0"/>
    </xf>
    <xf numFmtId="0" fontId="24" fillId="5" borderId="23" xfId="0" applyNumberFormat="1" applyFont="1" applyFill="1" applyBorder="1" applyAlignment="1" applyProtection="1">
      <alignment horizontal="left"/>
      <protection locked="0"/>
    </xf>
    <xf numFmtId="2" fontId="24" fillId="5" borderId="12" xfId="0" applyNumberFormat="1" applyFont="1" applyFill="1" applyBorder="1" applyAlignment="1" applyProtection="1">
      <protection locked="0"/>
    </xf>
    <xf numFmtId="2" fontId="24" fillId="5" borderId="24" xfId="0" applyNumberFormat="1" applyFont="1" applyFill="1" applyBorder="1" applyAlignment="1" applyProtection="1">
      <protection locked="0"/>
    </xf>
    <xf numFmtId="0" fontId="24" fillId="5" borderId="25" xfId="0" applyNumberFormat="1" applyFont="1" applyFill="1" applyBorder="1" applyAlignment="1" applyProtection="1">
      <alignment horizontal="left"/>
      <protection locked="0"/>
    </xf>
    <xf numFmtId="2" fontId="24" fillId="5" borderId="26" xfId="0" applyNumberFormat="1" applyFont="1" applyFill="1" applyBorder="1" applyAlignment="1" applyProtection="1">
      <protection locked="0"/>
    </xf>
    <xf numFmtId="2" fontId="24" fillId="5" borderId="27" xfId="0" applyNumberFormat="1" applyFont="1" applyFill="1" applyBorder="1" applyAlignment="1" applyProtection="1">
      <protection locked="0"/>
    </xf>
    <xf numFmtId="0" fontId="33" fillId="0" borderId="0" xfId="0" applyFont="1" applyFill="1" applyProtection="1">
      <protection locked="0"/>
    </xf>
    <xf numFmtId="164" fontId="36" fillId="0" borderId="0" xfId="0" applyNumberFormat="1" applyFont="1" applyFill="1" applyBorder="1" applyAlignment="1" applyProtection="1">
      <alignment horizontal="center"/>
      <protection locked="0"/>
    </xf>
    <xf numFmtId="0" fontId="36" fillId="0" borderId="0" xfId="0" applyFont="1" applyFill="1" applyBorder="1" applyAlignment="1" applyProtection="1">
      <alignment horizontal="center"/>
      <protection locked="0"/>
    </xf>
    <xf numFmtId="0" fontId="32" fillId="5" borderId="28" xfId="0" applyFont="1" applyFill="1" applyBorder="1" applyAlignment="1" applyProtection="1">
      <alignment horizontal="left"/>
      <protection locked="0"/>
    </xf>
    <xf numFmtId="165" fontId="24" fillId="5" borderId="29" xfId="0" applyNumberFormat="1" applyFont="1" applyFill="1" applyBorder="1" applyAlignment="1" applyProtection="1">
      <protection locked="0"/>
    </xf>
    <xf numFmtId="165" fontId="24" fillId="5" borderId="30" xfId="0" applyNumberFormat="1" applyFont="1" applyFill="1" applyBorder="1" applyAlignment="1" applyProtection="1">
      <protection locked="0"/>
    </xf>
    <xf numFmtId="0" fontId="32" fillId="5" borderId="23" xfId="0" applyFont="1" applyFill="1" applyBorder="1" applyAlignment="1" applyProtection="1">
      <alignment horizontal="left"/>
      <protection locked="0"/>
    </xf>
    <xf numFmtId="165" fontId="24" fillId="5" borderId="12" xfId="0" applyNumberFormat="1" applyFont="1" applyFill="1" applyBorder="1" applyAlignment="1" applyProtection="1">
      <protection locked="0"/>
    </xf>
    <xf numFmtId="165" fontId="24" fillId="5" borderId="24" xfId="0" applyNumberFormat="1" applyFont="1" applyFill="1" applyBorder="1" applyAlignment="1" applyProtection="1">
      <protection locked="0"/>
    </xf>
    <xf numFmtId="0" fontId="32" fillId="5" borderId="25" xfId="0" applyFont="1" applyFill="1" applyBorder="1" applyAlignment="1" applyProtection="1">
      <alignment horizontal="left"/>
      <protection locked="0"/>
    </xf>
    <xf numFmtId="165" fontId="24" fillId="5" borderId="26" xfId="0" applyNumberFormat="1" applyFont="1" applyFill="1" applyBorder="1" applyAlignment="1" applyProtection="1">
      <protection locked="0"/>
    </xf>
    <xf numFmtId="165" fontId="24" fillId="5" borderId="27" xfId="0" applyNumberFormat="1" applyFont="1" applyFill="1" applyBorder="1" applyAlignment="1" applyProtection="1">
      <protection locked="0"/>
    </xf>
    <xf numFmtId="0" fontId="34" fillId="0" borderId="13" xfId="0" applyFont="1" applyFill="1" applyBorder="1" applyProtection="1">
      <protection locked="0"/>
    </xf>
    <xf numFmtId="1" fontId="5" fillId="0" borderId="14" xfId="0" applyNumberFormat="1" applyFont="1" applyFill="1" applyBorder="1" applyProtection="1">
      <protection locked="0"/>
    </xf>
    <xf numFmtId="1" fontId="5" fillId="0" borderId="15" xfId="0" applyNumberFormat="1" applyFont="1" applyFill="1" applyBorder="1" applyProtection="1">
      <protection locked="0"/>
    </xf>
    <xf numFmtId="0" fontId="34" fillId="0" borderId="16" xfId="0" applyFont="1" applyFill="1" applyBorder="1" applyProtection="1">
      <protection locked="0"/>
    </xf>
    <xf numFmtId="0" fontId="34" fillId="0" borderId="16" xfId="0" applyFont="1" applyBorder="1" applyProtection="1">
      <protection locked="0"/>
    </xf>
    <xf numFmtId="1" fontId="5" fillId="0" borderId="17" xfId="0" applyNumberFormat="1" applyFont="1" applyFill="1" applyBorder="1" applyProtection="1">
      <protection locked="0"/>
    </xf>
    <xf numFmtId="0" fontId="34" fillId="0" borderId="16" xfId="0" applyNumberFormat="1" applyFont="1" applyBorder="1" applyProtection="1">
      <protection locked="0"/>
    </xf>
    <xf numFmtId="165" fontId="5" fillId="0" borderId="0" xfId="0" applyNumberFormat="1" applyFont="1" applyFill="1" applyBorder="1" applyAlignment="1" applyProtection="1">
      <alignment horizontal="right"/>
      <protection locked="0"/>
    </xf>
    <xf numFmtId="165" fontId="5" fillId="0" borderId="17" xfId="0" applyNumberFormat="1" applyFont="1" applyFill="1" applyBorder="1" applyAlignment="1" applyProtection="1">
      <alignment horizontal="right"/>
      <protection locked="0"/>
    </xf>
    <xf numFmtId="2" fontId="5" fillId="0" borderId="0" xfId="0" applyNumberFormat="1" applyFont="1" applyFill="1" applyBorder="1" applyAlignment="1" applyProtection="1">
      <protection locked="0"/>
    </xf>
    <xf numFmtId="2" fontId="5" fillId="0" borderId="17" xfId="0" applyNumberFormat="1" applyFont="1" applyFill="1" applyBorder="1" applyAlignment="1" applyProtection="1">
      <protection locked="0"/>
    </xf>
    <xf numFmtId="2" fontId="5" fillId="0" borderId="0" xfId="0" applyNumberFormat="1" applyFont="1" applyFill="1" applyBorder="1" applyAlignment="1" applyProtection="1">
      <alignment horizontal="right"/>
      <protection locked="0"/>
    </xf>
    <xf numFmtId="2" fontId="5" fillId="0" borderId="17" xfId="0" applyNumberFormat="1" applyFont="1" applyFill="1" applyBorder="1" applyAlignment="1" applyProtection="1">
      <alignment horizontal="right"/>
      <protection locked="0"/>
    </xf>
    <xf numFmtId="0" fontId="5" fillId="0" borderId="16" xfId="0" applyFont="1" applyFill="1" applyBorder="1" applyProtection="1">
      <protection locked="0"/>
    </xf>
    <xf numFmtId="0" fontId="10" fillId="0" borderId="0" xfId="0" applyFont="1" applyProtection="1">
      <protection locked="0"/>
    </xf>
    <xf numFmtId="2" fontId="8" fillId="0" borderId="0" xfId="0" applyNumberFormat="1" applyFont="1" applyFill="1" applyProtection="1">
      <protection locked="0"/>
    </xf>
    <xf numFmtId="2" fontId="7" fillId="0" borderId="0" xfId="0" applyNumberFormat="1" applyFont="1" applyFill="1" applyProtection="1">
      <protection locked="0"/>
    </xf>
    <xf numFmtId="2" fontId="0" fillId="0" borderId="0" xfId="0" applyNumberFormat="1" applyFill="1" applyProtection="1">
      <protection locked="0"/>
    </xf>
    <xf numFmtId="0" fontId="8" fillId="0" borderId="0" xfId="0" applyFont="1" applyProtection="1">
      <protection locked="0"/>
    </xf>
    <xf numFmtId="1" fontId="8" fillId="0" borderId="0" xfId="0" applyNumberFormat="1" applyFont="1" applyFill="1" applyProtection="1">
      <protection locked="0"/>
    </xf>
    <xf numFmtId="0" fontId="31" fillId="0" borderId="18" xfId="0" applyFont="1" applyFill="1" applyBorder="1" applyProtection="1">
      <protection locked="0"/>
    </xf>
    <xf numFmtId="165" fontId="5" fillId="6" borderId="19" xfId="0" applyNumberFormat="1" applyFont="1" applyFill="1" applyBorder="1" applyProtection="1">
      <protection locked="0"/>
    </xf>
    <xf numFmtId="165" fontId="5" fillId="6" borderId="20" xfId="0" applyNumberFormat="1" applyFont="1" applyFill="1" applyBorder="1" applyProtection="1">
      <protection locked="0"/>
    </xf>
    <xf numFmtId="2" fontId="2" fillId="6" borderId="0" xfId="0" applyNumberFormat="1" applyFont="1" applyFill="1" applyProtection="1">
      <protection locked="0"/>
    </xf>
    <xf numFmtId="0" fontId="29" fillId="0" borderId="0" xfId="0" applyFont="1" applyProtection="1">
      <protection locked="0"/>
    </xf>
    <xf numFmtId="0" fontId="34" fillId="0" borderId="0" xfId="0" applyNumberFormat="1" applyFont="1" applyProtection="1">
      <protection locked="0"/>
    </xf>
    <xf numFmtId="1" fontId="5" fillId="0" borderId="0" xfId="0" applyNumberFormat="1" applyFont="1" applyFill="1" applyAlignment="1" applyProtection="1">
      <alignment horizontal="left"/>
      <protection locked="0"/>
    </xf>
    <xf numFmtId="165" fontId="8" fillId="0" borderId="0" xfId="0" applyNumberFormat="1" applyFont="1" applyFill="1" applyProtection="1">
      <protection locked="0"/>
    </xf>
    <xf numFmtId="0" fontId="8" fillId="0" borderId="0" xfId="0" applyFont="1" applyFill="1" applyProtection="1">
      <protection locked="0"/>
    </xf>
    <xf numFmtId="0" fontId="5" fillId="0" borderId="0" xfId="0" applyNumberFormat="1" applyFont="1" applyProtection="1">
      <protection locked="0"/>
    </xf>
    <xf numFmtId="2" fontId="5" fillId="0" borderId="0" xfId="0" applyNumberFormat="1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2" fontId="5" fillId="0" borderId="0" xfId="0" applyNumberFormat="1" applyFont="1" applyFill="1" applyProtection="1">
      <protection locked="0"/>
    </xf>
    <xf numFmtId="1" fontId="5" fillId="0" borderId="0" xfId="0" applyNumberFormat="1" applyFont="1" applyFill="1" applyProtection="1">
      <protection locked="0"/>
    </xf>
    <xf numFmtId="165" fontId="5" fillId="0" borderId="0" xfId="0" applyNumberFormat="1" applyFont="1" applyFill="1" applyProtection="1">
      <protection locked="0"/>
    </xf>
    <xf numFmtId="165" fontId="5" fillId="0" borderId="0" xfId="0" applyNumberFormat="1" applyFont="1" applyFill="1" applyAlignment="1" applyProtection="1">
      <alignment horizontal="left" indent="1"/>
      <protection locked="0"/>
    </xf>
    <xf numFmtId="0" fontId="0" fillId="0" borderId="0" xfId="0" applyProtection="1"/>
    <xf numFmtId="0" fontId="16" fillId="4" borderId="65" xfId="0" applyFont="1" applyFill="1" applyBorder="1" applyAlignment="1" applyProtection="1">
      <alignment horizontal="center"/>
    </xf>
    <xf numFmtId="0" fontId="17" fillId="4" borderId="0" xfId="0" applyFont="1" applyFill="1" applyBorder="1" applyAlignment="1" applyProtection="1">
      <alignment horizontal="center"/>
    </xf>
    <xf numFmtId="0" fontId="17" fillId="4" borderId="66" xfId="0" applyFont="1" applyFill="1" applyBorder="1" applyAlignment="1" applyProtection="1">
      <alignment horizontal="center"/>
    </xf>
    <xf numFmtId="0" fontId="20" fillId="2" borderId="65" xfId="0" applyFont="1" applyFill="1" applyBorder="1" applyAlignment="1" applyProtection="1"/>
    <xf numFmtId="0" fontId="22" fillId="14" borderId="69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22" fillId="14" borderId="71" xfId="0" applyFont="1" applyFill="1" applyBorder="1" applyAlignment="1" applyProtection="1">
      <alignment horizontal="left"/>
    </xf>
    <xf numFmtId="0" fontId="28" fillId="13" borderId="65" xfId="0" applyFont="1" applyFill="1" applyBorder="1" applyAlignment="1" applyProtection="1">
      <alignment horizontal="center" vertical="center"/>
    </xf>
    <xf numFmtId="0" fontId="17" fillId="13" borderId="0" xfId="0" applyFont="1" applyFill="1" applyBorder="1" applyAlignment="1" applyProtection="1">
      <alignment vertical="center"/>
    </xf>
    <xf numFmtId="0" fontId="17" fillId="13" borderId="66" xfId="0" applyFont="1" applyFill="1" applyBorder="1" applyAlignment="1" applyProtection="1">
      <alignment vertical="center"/>
    </xf>
    <xf numFmtId="0" fontId="16" fillId="13" borderId="65" xfId="0" applyFont="1" applyFill="1" applyBorder="1" applyAlignment="1" applyProtection="1">
      <alignment horizontal="center" vertical="center"/>
    </xf>
    <xf numFmtId="0" fontId="16" fillId="13" borderId="0" xfId="0" applyFont="1" applyFill="1" applyBorder="1" applyAlignment="1" applyProtection="1">
      <alignment horizontal="center" vertical="center"/>
    </xf>
    <xf numFmtId="0" fontId="3" fillId="4" borderId="65" xfId="0" applyFont="1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0" borderId="66" xfId="0" applyBorder="1" applyAlignment="1" applyProtection="1">
      <protection locked="0"/>
    </xf>
    <xf numFmtId="0" fontId="26" fillId="8" borderId="43" xfId="0" applyFont="1" applyFill="1" applyBorder="1" applyAlignment="1" applyProtection="1">
      <alignment horizontal="center"/>
      <protection locked="0"/>
    </xf>
    <xf numFmtId="0" fontId="26" fillId="8" borderId="50" xfId="0" applyFont="1" applyFill="1" applyBorder="1" applyAlignment="1" applyProtection="1">
      <alignment horizontal="center"/>
      <protection locked="0"/>
    </xf>
    <xf numFmtId="0" fontId="26" fillId="8" borderId="56" xfId="0" applyFont="1" applyFill="1" applyBorder="1" applyAlignment="1" applyProtection="1">
      <alignment horizontal="center"/>
      <protection locked="0"/>
    </xf>
    <xf numFmtId="0" fontId="26" fillId="8" borderId="44" xfId="0" applyFont="1" applyFill="1" applyBorder="1" applyAlignment="1" applyProtection="1">
      <alignment horizontal="center"/>
      <protection locked="0"/>
    </xf>
    <xf numFmtId="0" fontId="26" fillId="8" borderId="45" xfId="0" applyFont="1" applyFill="1" applyBorder="1" applyAlignment="1" applyProtection="1">
      <alignment horizontal="center"/>
      <protection locked="0"/>
    </xf>
    <xf numFmtId="0" fontId="26" fillId="8" borderId="48" xfId="0" applyFont="1" applyFill="1" applyBorder="1" applyAlignment="1" applyProtection="1">
      <alignment horizontal="center"/>
      <protection locked="0"/>
    </xf>
    <xf numFmtId="0" fontId="0" fillId="13" borderId="0" xfId="0" applyFill="1" applyBorder="1" applyAlignment="1" applyProtection="1">
      <alignment horizontal="center" vertical="center"/>
    </xf>
    <xf numFmtId="0" fontId="0" fillId="13" borderId="66" xfId="0" applyFill="1" applyBorder="1" applyAlignment="1" applyProtection="1">
      <alignment horizontal="center" vertical="center"/>
    </xf>
    <xf numFmtId="0" fontId="0" fillId="13" borderId="65" xfId="0" applyFill="1" applyBorder="1" applyAlignment="1" applyProtection="1">
      <alignment horizontal="center" vertical="center"/>
    </xf>
    <xf numFmtId="0" fontId="15" fillId="3" borderId="57" xfId="0" applyFont="1" applyFill="1" applyBorder="1" applyAlignment="1" applyProtection="1">
      <protection locked="0"/>
    </xf>
    <xf numFmtId="0" fontId="15" fillId="3" borderId="45" xfId="0" applyFont="1" applyFill="1" applyBorder="1" applyAlignment="1" applyProtection="1">
      <protection locked="0"/>
    </xf>
    <xf numFmtId="0" fontId="15" fillId="3" borderId="58" xfId="0" applyFont="1" applyFill="1" applyBorder="1" applyAlignment="1" applyProtection="1">
      <protection locked="0"/>
    </xf>
    <xf numFmtId="166" fontId="20" fillId="4" borderId="63" xfId="0" applyNumberFormat="1" applyFont="1" applyFill="1" applyBorder="1" applyAlignment="1" applyProtection="1">
      <alignment horizontal="left"/>
      <protection locked="0"/>
    </xf>
    <xf numFmtId="0" fontId="0" fillId="0" borderId="31" xfId="0" applyBorder="1" applyAlignment="1" applyProtection="1">
      <protection locked="0"/>
    </xf>
    <xf numFmtId="0" fontId="0" fillId="0" borderId="64" xfId="0" applyBorder="1" applyAlignment="1" applyProtection="1">
      <protection locked="0"/>
    </xf>
    <xf numFmtId="166" fontId="20" fillId="4" borderId="65" xfId="0" applyNumberFormat="1" applyFont="1" applyFill="1" applyBorder="1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15" fillId="8" borderId="41" xfId="0" applyFont="1" applyFill="1" applyBorder="1" applyAlignment="1" applyProtection="1">
      <alignment horizontal="center" vertical="center"/>
      <protection locked="0"/>
    </xf>
    <xf numFmtId="0" fontId="4" fillId="8" borderId="40" xfId="0" applyFont="1" applyFill="1" applyBorder="1" applyAlignment="1" applyProtection="1">
      <alignment vertical="center"/>
      <protection locked="0"/>
    </xf>
    <xf numFmtId="0" fontId="4" fillId="8" borderId="42" xfId="0" applyFont="1" applyFill="1" applyBorder="1" applyAlignment="1" applyProtection="1">
      <alignment vertical="center"/>
      <protection locked="0"/>
    </xf>
    <xf numFmtId="166" fontId="19" fillId="13" borderId="67" xfId="0" applyNumberFormat="1" applyFont="1" applyFill="1" applyBorder="1" applyAlignment="1" applyProtection="1">
      <alignment horizontal="center"/>
      <protection locked="0"/>
    </xf>
    <xf numFmtId="166" fontId="19" fillId="13" borderId="5" xfId="0" applyNumberFormat="1" applyFont="1" applyFill="1" applyBorder="1" applyAlignment="1" applyProtection="1">
      <alignment horizontal="center"/>
      <protection locked="0"/>
    </xf>
    <xf numFmtId="166" fontId="19" fillId="13" borderId="68" xfId="0" applyNumberFormat="1" applyFont="1" applyFill="1" applyBorder="1" applyAlignment="1" applyProtection="1">
      <alignment horizontal="center"/>
      <protection locked="0"/>
    </xf>
    <xf numFmtId="0" fontId="51" fillId="13" borderId="63" xfId="0" applyFont="1" applyFill="1" applyBorder="1" applyAlignment="1" applyProtection="1">
      <alignment horizontal="center"/>
      <protection locked="0"/>
    </xf>
    <xf numFmtId="0" fontId="51" fillId="13" borderId="31" xfId="0" applyFont="1" applyFill="1" applyBorder="1" applyAlignment="1" applyProtection="1">
      <alignment horizontal="center"/>
      <protection locked="0"/>
    </xf>
    <xf numFmtId="0" fontId="51" fillId="13" borderId="64" xfId="0" applyFont="1" applyFill="1" applyBorder="1" applyAlignment="1" applyProtection="1">
      <alignment horizontal="center"/>
      <protection locked="0"/>
    </xf>
    <xf numFmtId="166" fontId="19" fillId="13" borderId="65" xfId="0" applyNumberFormat="1" applyFont="1" applyFill="1" applyBorder="1" applyAlignment="1" applyProtection="1">
      <alignment horizontal="center"/>
      <protection locked="0"/>
    </xf>
    <xf numFmtId="166" fontId="19" fillId="13" borderId="0" xfId="0" applyNumberFormat="1" applyFont="1" applyFill="1" applyBorder="1" applyAlignment="1" applyProtection="1">
      <alignment horizontal="center"/>
      <protection locked="0"/>
    </xf>
    <xf numFmtId="166" fontId="19" fillId="13" borderId="66" xfId="0" applyNumberFormat="1" applyFont="1" applyFill="1" applyBorder="1" applyAlignment="1" applyProtection="1">
      <alignment horizontal="center"/>
      <protection locked="0"/>
    </xf>
    <xf numFmtId="0" fontId="13" fillId="9" borderId="59" xfId="0" applyFont="1" applyFill="1" applyBorder="1" applyAlignment="1">
      <alignment horizontal="center"/>
    </xf>
    <xf numFmtId="0" fontId="13" fillId="9" borderId="60" xfId="0" applyFont="1" applyFill="1" applyBorder="1" applyAlignment="1">
      <alignment horizontal="center"/>
    </xf>
    <xf numFmtId="0" fontId="40" fillId="10" borderId="61" xfId="0" applyFont="1" applyFill="1" applyBorder="1" applyAlignment="1">
      <alignment horizontal="center"/>
    </xf>
    <xf numFmtId="0" fontId="40" fillId="10" borderId="62" xfId="0" applyFont="1" applyFill="1" applyBorder="1" applyAlignment="1">
      <alignment horizontal="center"/>
    </xf>
    <xf numFmtId="0" fontId="13" fillId="9" borderId="38" xfId="0" applyFont="1" applyFill="1" applyBorder="1" applyAlignment="1">
      <alignment horizontal="center"/>
    </xf>
    <xf numFmtId="0" fontId="13" fillId="9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34436401240951"/>
          <c:y val="4.7377326565143825E-2"/>
          <c:w val="0.88831437435367111"/>
          <c:h val="0.81725888324873097"/>
        </c:manualLayout>
      </c:layout>
      <c:lineChart>
        <c:grouping val="standard"/>
        <c:varyColors val="0"/>
        <c:ser>
          <c:idx val="0"/>
          <c:order val="0"/>
          <c:tx>
            <c:strRef>
              <c:f>ETP!$A$46</c:f>
              <c:strCache>
                <c:ptCount val="1"/>
                <c:pt idx="0">
                  <c:v>ET (Thornthwaite)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ETP!$B$45:$M$45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 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ETP!$B$46:$M$46</c:f>
              <c:numCache>
                <c:formatCode>0</c:formatCode>
                <c:ptCount val="12"/>
                <c:pt idx="0">
                  <c:v>118.85492597153566</c:v>
                </c:pt>
                <c:pt idx="1">
                  <c:v>94.667641300100257</c:v>
                </c:pt>
                <c:pt idx="2">
                  <c:v>90.663870683553242</c:v>
                </c:pt>
                <c:pt idx="3">
                  <c:v>62.184811077850192</c:v>
                </c:pt>
                <c:pt idx="4">
                  <c:v>42.468956526222655</c:v>
                </c:pt>
                <c:pt idx="5">
                  <c:v>28.228172740104629</c:v>
                </c:pt>
                <c:pt idx="6">
                  <c:v>28.46134383799042</c:v>
                </c:pt>
                <c:pt idx="7">
                  <c:v>43.305258726059932</c:v>
                </c:pt>
                <c:pt idx="8">
                  <c:v>61.193788818213406</c:v>
                </c:pt>
                <c:pt idx="9">
                  <c:v>94.8062930970558</c:v>
                </c:pt>
                <c:pt idx="10">
                  <c:v>105.26038221009462</c:v>
                </c:pt>
                <c:pt idx="11">
                  <c:v>122.00772363975096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ETP!$A$47</c:f>
              <c:strCache>
                <c:ptCount val="1"/>
                <c:pt idx="0">
                  <c:v>ET (Turc) 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ETP!$B$45:$M$45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 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ETP!$B$47:$M$47</c:f>
              <c:numCache>
                <c:formatCode>0</c:formatCode>
                <c:ptCount val="12"/>
                <c:pt idx="0">
                  <c:v>144.12196905210101</c:v>
                </c:pt>
                <c:pt idx="1">
                  <c:v>136.15076359377142</c:v>
                </c:pt>
                <c:pt idx="2">
                  <c:v>113.93472245744381</c:v>
                </c:pt>
                <c:pt idx="3">
                  <c:v>92.537475707111838</c:v>
                </c:pt>
                <c:pt idx="4">
                  <c:v>58.511945059600073</c:v>
                </c:pt>
                <c:pt idx="5">
                  <c:v>47.534406617014191</c:v>
                </c:pt>
                <c:pt idx="6">
                  <c:v>50.119071272562287</c:v>
                </c:pt>
                <c:pt idx="7">
                  <c:v>72.88085136762345</c:v>
                </c:pt>
                <c:pt idx="8">
                  <c:v>87.463668397287904</c:v>
                </c:pt>
                <c:pt idx="9">
                  <c:v>115.95960382352814</c:v>
                </c:pt>
                <c:pt idx="10">
                  <c:v>127.2246258728125</c:v>
                </c:pt>
                <c:pt idx="11">
                  <c:v>127.50057431927993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ETP!$A$48</c:f>
              <c:strCache>
                <c:ptCount val="1"/>
                <c:pt idx="0">
                  <c:v>ET (Hargreaves)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ETP!$B$45:$M$45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 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ETP!$B$48:$M$48</c:f>
              <c:numCache>
                <c:formatCode>0</c:formatCode>
                <c:ptCount val="12"/>
                <c:pt idx="0">
                  <c:v>171.54747567249802</c:v>
                </c:pt>
                <c:pt idx="1">
                  <c:v>130.24178588773646</c:v>
                </c:pt>
                <c:pt idx="2">
                  <c:v>118.4479727770504</c:v>
                </c:pt>
                <c:pt idx="3">
                  <c:v>88.918606296397456</c:v>
                </c:pt>
                <c:pt idx="4">
                  <c:v>73.475338643866976</c:v>
                </c:pt>
                <c:pt idx="5">
                  <c:v>65.017950283526389</c:v>
                </c:pt>
                <c:pt idx="6">
                  <c:v>73.337737230767658</c:v>
                </c:pt>
                <c:pt idx="7">
                  <c:v>94.698437883768406</c:v>
                </c:pt>
                <c:pt idx="8">
                  <c:v>119.32968225758087</c:v>
                </c:pt>
                <c:pt idx="9">
                  <c:v>156.96654744878799</c:v>
                </c:pt>
                <c:pt idx="10">
                  <c:v>159.21931713183827</c:v>
                </c:pt>
                <c:pt idx="11">
                  <c:v>184.89316827494798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ETP!$A$49</c:f>
              <c:strCache>
                <c:ptCount val="1"/>
                <c:pt idx="0">
                  <c:v>ET (Penman-Monteith)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ETP!$B$45:$M$45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 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ETP!$B$49:$M$49</c:f>
              <c:numCache>
                <c:formatCode>0</c:formatCode>
                <c:ptCount val="12"/>
                <c:pt idx="0">
                  <c:v>166.14520881441439</c:v>
                </c:pt>
                <c:pt idx="1">
                  <c:v>139.24264223557057</c:v>
                </c:pt>
                <c:pt idx="2">
                  <c:v>116.59028962468273</c:v>
                </c:pt>
                <c:pt idx="3">
                  <c:v>87.465503105396351</c:v>
                </c:pt>
                <c:pt idx="4">
                  <c:v>60.444671346185423</c:v>
                </c:pt>
                <c:pt idx="5">
                  <c:v>51.771440781715562</c:v>
                </c:pt>
                <c:pt idx="6">
                  <c:v>49.790764228213533</c:v>
                </c:pt>
                <c:pt idx="7">
                  <c:v>78.19654119809887</c:v>
                </c:pt>
                <c:pt idx="8">
                  <c:v>108.5451164428699</c:v>
                </c:pt>
                <c:pt idx="9">
                  <c:v>131.81214189503481</c:v>
                </c:pt>
                <c:pt idx="10">
                  <c:v>149.71068943968248</c:v>
                </c:pt>
                <c:pt idx="11">
                  <c:v>172.12267932641976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ETP!$A$50</c:f>
              <c:strCache>
                <c:ptCount val="1"/>
                <c:pt idx="0">
                  <c:v>U.C. (Blanney y Criddle)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tar"/>
            <c:size val="9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ETP!$B$50:$M$50</c:f>
              <c:numCache>
                <c:formatCode>0</c:formatCode>
                <c:ptCount val="12"/>
                <c:pt idx="0">
                  <c:v>177.79606567142858</c:v>
                </c:pt>
                <c:pt idx="1">
                  <c:v>150.32111893640629</c:v>
                </c:pt>
                <c:pt idx="2">
                  <c:v>148.99407935994429</c:v>
                </c:pt>
                <c:pt idx="3">
                  <c:v>129.99290123083028</c:v>
                </c:pt>
                <c:pt idx="4">
                  <c:v>116.57507396868616</c:v>
                </c:pt>
                <c:pt idx="5">
                  <c:v>101.3405540893978</c:v>
                </c:pt>
                <c:pt idx="6">
                  <c:v>105.09542064681432</c:v>
                </c:pt>
                <c:pt idx="7">
                  <c:v>119.51353313454085</c:v>
                </c:pt>
                <c:pt idx="8">
                  <c:v>132.64271597938094</c:v>
                </c:pt>
                <c:pt idx="9">
                  <c:v>159.13896769651333</c:v>
                </c:pt>
                <c:pt idx="10">
                  <c:v>165.95383074290561</c:v>
                </c:pt>
                <c:pt idx="11">
                  <c:v>180.46719218095055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172832"/>
        <c:axId val="286173392"/>
      </c:lineChart>
      <c:catAx>
        <c:axId val="28617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28617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61733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AR"/>
                  <a:t>mm/mes</a:t>
                </a:r>
              </a:p>
            </c:rich>
          </c:tx>
          <c:layout>
            <c:manualLayout>
              <c:xMode val="edge"/>
              <c:yMode val="edge"/>
              <c:x val="1.1375436265183987E-2"/>
              <c:y val="0.3282571963277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2861728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1088082901554404E-2"/>
          <c:y val="0.94906621392190149"/>
          <c:w val="0.93367875647668397"/>
          <c:h val="4.4142614601018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5" right="0.75" top="1" bottom="1" header="0" footer="0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128990</xdr:colOff>
      <xdr:row>0</xdr:row>
      <xdr:rowOff>28575</xdr:rowOff>
    </xdr:from>
    <xdr:to>
      <xdr:col>13</xdr:col>
      <xdr:colOff>471378</xdr:colOff>
      <xdr:row>1</xdr:row>
      <xdr:rowOff>166209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5165" y="28575"/>
          <a:ext cx="342388" cy="36623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solidFill>
            <a:schemeClr val="accent6">
              <a:lumMod val="20000"/>
              <a:lumOff val="80000"/>
            </a:schemeClr>
          </a:solidFill>
        </a:ln>
        <a:effectLst>
          <a:glow rad="228600">
            <a:schemeClr val="accent5">
              <a:satMod val="175000"/>
              <a:alpha val="40000"/>
            </a:schemeClr>
          </a:glow>
          <a:outerShdw blurRad="50800" dist="38100" dir="2700000" algn="tl" rotWithShape="0">
            <a:prstClr val="black">
              <a:alpha val="40000"/>
            </a:prstClr>
          </a:outerShdw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0</xdr:col>
      <xdr:colOff>14932</xdr:colOff>
      <xdr:row>0</xdr:row>
      <xdr:rowOff>28575</xdr:rowOff>
    </xdr:from>
    <xdr:to>
      <xdr:col>0</xdr:col>
      <xdr:colOff>352425</xdr:colOff>
      <xdr:row>1</xdr:row>
      <xdr:rowOff>144782</xdr:rowOff>
    </xdr:to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2" y="28575"/>
          <a:ext cx="337493" cy="34480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solidFill>
            <a:schemeClr val="accent6">
              <a:lumMod val="20000"/>
              <a:lumOff val="80000"/>
            </a:schemeClr>
          </a:solidFill>
        </a:ln>
        <a:effectLst>
          <a:glow rad="228600">
            <a:schemeClr val="accent5">
              <a:satMod val="175000"/>
              <a:alpha val="40000"/>
            </a:schemeClr>
          </a:glow>
          <a:outerShdw blurRad="50800" dist="38100" dir="2700000" algn="tl" rotWithShape="0">
            <a:prstClr val="black">
              <a:alpha val="40000"/>
            </a:prstClr>
          </a:outerShdw>
          <a:reflection blurRad="12700" stA="38000" endPos="28000" dist="5000" dir="5400000" sy="-100000" algn="bl" rotWithShape="0"/>
        </a:effectLst>
        <a:extLst/>
      </xdr:spPr>
    </xdr:pic>
    <xdr:clientData/>
  </xdr:twoCellAnchor>
  <xdr:twoCellAnchor editAs="oneCell">
    <xdr:from>
      <xdr:col>0</xdr:col>
      <xdr:colOff>21818</xdr:colOff>
      <xdr:row>2</xdr:row>
      <xdr:rowOff>55074</xdr:rowOff>
    </xdr:from>
    <xdr:to>
      <xdr:col>0</xdr:col>
      <xdr:colOff>354148</xdr:colOff>
      <xdr:row>3</xdr:row>
      <xdr:rowOff>135221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8" y="490503"/>
          <a:ext cx="332330" cy="330518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solidFill>
            <a:schemeClr val="accent6">
              <a:lumMod val="20000"/>
              <a:lumOff val="80000"/>
            </a:schemeClr>
          </a:solidFill>
        </a:ln>
        <a:effectLst>
          <a:glow rad="228600">
            <a:schemeClr val="accent5">
              <a:satMod val="175000"/>
              <a:alpha val="40000"/>
            </a:schemeClr>
          </a:glow>
          <a:outerShdw blurRad="50800" dist="38100" dir="2700000" algn="tl" rotWithShape="0">
            <a:prstClr val="black">
              <a:alpha val="40000"/>
            </a:prstClr>
          </a:outerShdw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13</xdr:col>
      <xdr:colOff>152400</xdr:colOff>
      <xdr:row>2</xdr:row>
      <xdr:rowOff>47243</xdr:rowOff>
    </xdr:from>
    <xdr:to>
      <xdr:col>13</xdr:col>
      <xdr:colOff>484470</xdr:colOff>
      <xdr:row>3</xdr:row>
      <xdr:rowOff>152356</xdr:rowOff>
    </xdr:to>
    <xdr:pic>
      <xdr:nvPicPr>
        <xdr:cNvPr id="5" name="2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816"/>
        <a:stretch/>
      </xdr:blipFill>
      <xdr:spPr>
        <a:xfrm>
          <a:off x="7859486" y="482672"/>
          <a:ext cx="332070" cy="35548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solidFill>
            <a:schemeClr val="accent6">
              <a:lumMod val="20000"/>
              <a:lumOff val="80000"/>
            </a:schemeClr>
          </a:solidFill>
        </a:ln>
        <a:effectLst>
          <a:glow rad="228600">
            <a:schemeClr val="accent5">
              <a:satMod val="175000"/>
              <a:alpha val="40000"/>
            </a:schemeClr>
          </a:glow>
          <a:outerShdw blurRad="50800" dist="38100" dir="2700000" algn="tl" rotWithShape="0">
            <a:prstClr val="black">
              <a:alpha val="40000"/>
            </a:prstClr>
          </a:outerShdw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5437" cy="56197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3"/>
  <sheetViews>
    <sheetView showGridLines="0" tabSelected="1" topLeftCell="A3" zoomScale="90" zoomScaleNormal="90" workbookViewId="0">
      <selection activeCell="B31" sqref="B31:M34"/>
    </sheetView>
  </sheetViews>
  <sheetFormatPr baseColWidth="10" defaultRowHeight="12.75" x14ac:dyDescent="0.2"/>
  <cols>
    <col min="1" max="1" width="36.42578125" style="57" customWidth="1"/>
    <col min="2" max="2" width="5.7109375" style="57" customWidth="1"/>
    <col min="3" max="3" width="8" style="57" customWidth="1"/>
    <col min="4" max="4" width="6.85546875" style="57" customWidth="1"/>
    <col min="5" max="5" width="7" style="57" customWidth="1"/>
    <col min="6" max="6" width="6.85546875" style="57" customWidth="1"/>
    <col min="7" max="7" width="7.28515625" style="57" customWidth="1"/>
    <col min="8" max="13" width="5.7109375" style="57" customWidth="1"/>
    <col min="14" max="14" width="7.5703125" style="57" customWidth="1"/>
    <col min="15" max="23" width="7.7109375" style="57" hidden="1" customWidth="1"/>
    <col min="24" max="1073" width="0" style="57" hidden="1" customWidth="1"/>
    <col min="1074" max="16384" width="11.42578125" style="57"/>
  </cols>
  <sheetData>
    <row r="1" spans="1:17" ht="17.45" customHeight="1" x14ac:dyDescent="0.25">
      <c r="A1" s="273" t="s">
        <v>71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5"/>
    </row>
    <row r="2" spans="1:17" ht="17.45" customHeight="1" x14ac:dyDescent="0.25">
      <c r="A2" s="276" t="s">
        <v>182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8"/>
    </row>
    <row r="3" spans="1:17" ht="19.899999999999999" customHeight="1" x14ac:dyDescent="0.25">
      <c r="A3" s="276" t="s">
        <v>183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8"/>
    </row>
    <row r="4" spans="1:17" ht="19.899999999999999" customHeight="1" thickBot="1" x14ac:dyDescent="0.3">
      <c r="A4" s="270" t="s">
        <v>181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2"/>
    </row>
    <row r="5" spans="1:17" ht="15" x14ac:dyDescent="0.2">
      <c r="A5" s="262" t="s">
        <v>117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4"/>
    </row>
    <row r="6" spans="1:17" ht="15" x14ac:dyDescent="0.2">
      <c r="A6" s="265" t="s">
        <v>135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49"/>
    </row>
    <row r="7" spans="1:17" ht="15.75" thickBot="1" x14ac:dyDescent="0.25">
      <c r="A7" s="265" t="s">
        <v>129</v>
      </c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49"/>
    </row>
    <row r="8" spans="1:17" ht="27.75" customHeight="1" thickBot="1" x14ac:dyDescent="0.25">
      <c r="A8" s="267" t="s">
        <v>83</v>
      </c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9"/>
      <c r="N8" s="58"/>
      <c r="P8" s="59"/>
      <c r="Q8" s="59"/>
    </row>
    <row r="9" spans="1:17" ht="18" customHeight="1" thickBot="1" x14ac:dyDescent="0.3">
      <c r="A9" s="60" t="s">
        <v>127</v>
      </c>
      <c r="B9" s="61" t="s">
        <v>118</v>
      </c>
      <c r="C9" s="62"/>
      <c r="D9" s="63" t="s">
        <v>175</v>
      </c>
      <c r="E9" s="64"/>
      <c r="F9" s="64"/>
      <c r="G9" s="65" t="s">
        <v>119</v>
      </c>
      <c r="H9" s="64"/>
      <c r="I9" s="61" t="s">
        <v>121</v>
      </c>
      <c r="J9" s="66"/>
      <c r="K9" s="61" t="s">
        <v>184</v>
      </c>
      <c r="L9" s="66"/>
      <c r="M9" s="62"/>
      <c r="N9" s="37"/>
      <c r="O9" s="67"/>
      <c r="P9" s="68"/>
      <c r="Q9" s="69"/>
    </row>
    <row r="10" spans="1:17" ht="15.75" x14ac:dyDescent="0.2">
      <c r="A10" s="70" t="s">
        <v>122</v>
      </c>
      <c r="B10" s="250" t="s">
        <v>106</v>
      </c>
      <c r="C10" s="252"/>
      <c r="D10" s="71"/>
      <c r="E10" s="72" t="s">
        <v>106</v>
      </c>
      <c r="F10" s="73"/>
      <c r="G10" s="250" t="s">
        <v>106</v>
      </c>
      <c r="H10" s="252"/>
      <c r="I10" s="250" t="s">
        <v>106</v>
      </c>
      <c r="J10" s="252"/>
      <c r="K10" s="250" t="s">
        <v>106</v>
      </c>
      <c r="L10" s="251"/>
      <c r="M10" s="252"/>
      <c r="N10" s="58"/>
      <c r="P10" s="74"/>
      <c r="Q10" s="74"/>
    </row>
    <row r="11" spans="1:17" ht="15.75" x14ac:dyDescent="0.2">
      <c r="A11" s="75" t="s">
        <v>125</v>
      </c>
      <c r="B11" s="253" t="s">
        <v>106</v>
      </c>
      <c r="C11" s="255"/>
      <c r="D11" s="76"/>
      <c r="E11" s="77" t="s">
        <v>106</v>
      </c>
      <c r="F11" s="78"/>
      <c r="G11" s="253" t="s">
        <v>106</v>
      </c>
      <c r="H11" s="255"/>
      <c r="I11" s="253" t="s">
        <v>106</v>
      </c>
      <c r="J11" s="255"/>
      <c r="K11" s="253" t="s">
        <v>106</v>
      </c>
      <c r="L11" s="254"/>
      <c r="M11" s="255"/>
      <c r="N11" s="58"/>
    </row>
    <row r="12" spans="1:17" ht="15.75" x14ac:dyDescent="0.2">
      <c r="A12" s="75" t="s">
        <v>123</v>
      </c>
      <c r="B12" s="79"/>
      <c r="C12" s="80"/>
      <c r="D12" s="79"/>
      <c r="E12" s="80"/>
      <c r="F12" s="81"/>
      <c r="G12" s="253" t="s">
        <v>106</v>
      </c>
      <c r="H12" s="255"/>
      <c r="I12" s="253" t="s">
        <v>106</v>
      </c>
      <c r="J12" s="255"/>
      <c r="K12" s="253" t="s">
        <v>106</v>
      </c>
      <c r="L12" s="254"/>
      <c r="M12" s="255"/>
      <c r="N12" s="58"/>
    </row>
    <row r="13" spans="1:17" ht="15.75" x14ac:dyDescent="0.2">
      <c r="A13" s="75" t="s">
        <v>124</v>
      </c>
      <c r="B13" s="79"/>
      <c r="C13" s="80"/>
      <c r="D13" s="79"/>
      <c r="E13" s="80"/>
      <c r="F13" s="81"/>
      <c r="G13" s="253" t="s">
        <v>106</v>
      </c>
      <c r="H13" s="255"/>
      <c r="I13" s="253" t="s">
        <v>106</v>
      </c>
      <c r="J13" s="255"/>
      <c r="K13" s="253" t="s">
        <v>106</v>
      </c>
      <c r="L13" s="254"/>
      <c r="M13" s="255"/>
      <c r="N13" s="58"/>
    </row>
    <row r="14" spans="1:17" ht="15.75" x14ac:dyDescent="0.2">
      <c r="A14" s="82" t="s">
        <v>79</v>
      </c>
      <c r="B14" s="79"/>
      <c r="C14" s="80"/>
      <c r="D14" s="79"/>
      <c r="E14" s="80"/>
      <c r="F14" s="81"/>
      <c r="G14" s="83"/>
      <c r="H14" s="83"/>
      <c r="I14" s="253"/>
      <c r="J14" s="255"/>
      <c r="K14" s="253" t="s">
        <v>106</v>
      </c>
      <c r="L14" s="254"/>
      <c r="M14" s="255"/>
      <c r="N14" s="58"/>
    </row>
    <row r="15" spans="1:17" ht="15.75" x14ac:dyDescent="0.2">
      <c r="A15" s="84" t="s">
        <v>80</v>
      </c>
      <c r="B15" s="79"/>
      <c r="C15" s="80"/>
      <c r="D15" s="79"/>
      <c r="E15" s="80"/>
      <c r="F15" s="81"/>
      <c r="G15" s="83"/>
      <c r="H15" s="83"/>
      <c r="I15" s="253"/>
      <c r="J15" s="255"/>
      <c r="K15" s="253" t="s">
        <v>106</v>
      </c>
      <c r="L15" s="254"/>
      <c r="M15" s="255"/>
      <c r="N15" s="58"/>
    </row>
    <row r="16" spans="1:17" ht="15.75" x14ac:dyDescent="0.2">
      <c r="A16" s="85" t="s">
        <v>81</v>
      </c>
      <c r="B16" s="79"/>
      <c r="C16" s="80"/>
      <c r="D16" s="79"/>
      <c r="E16" s="80"/>
      <c r="F16" s="81"/>
      <c r="G16" s="83"/>
      <c r="H16" s="83"/>
      <c r="I16" s="253"/>
      <c r="J16" s="255"/>
      <c r="K16" s="253" t="s">
        <v>106</v>
      </c>
      <c r="L16" s="254"/>
      <c r="M16" s="255"/>
      <c r="N16" s="58"/>
    </row>
    <row r="17" spans="1:25" ht="15.75" x14ac:dyDescent="0.2">
      <c r="A17" s="85" t="s">
        <v>75</v>
      </c>
      <c r="B17" s="79"/>
      <c r="C17" s="80"/>
      <c r="D17" s="79"/>
      <c r="E17" s="80"/>
      <c r="F17" s="81"/>
      <c r="G17" s="83"/>
      <c r="H17" s="83"/>
      <c r="I17" s="253"/>
      <c r="J17" s="255"/>
      <c r="K17" s="253" t="s">
        <v>106</v>
      </c>
      <c r="L17" s="254"/>
      <c r="M17" s="255"/>
      <c r="N17" s="58"/>
    </row>
    <row r="18" spans="1:25" ht="15.75" x14ac:dyDescent="0.2">
      <c r="A18" s="85" t="s">
        <v>126</v>
      </c>
      <c r="B18" s="79"/>
      <c r="C18" s="80"/>
      <c r="D18" s="79"/>
      <c r="E18" s="80"/>
      <c r="F18" s="81"/>
      <c r="G18" s="83"/>
      <c r="H18" s="83"/>
      <c r="I18" s="253"/>
      <c r="J18" s="255"/>
      <c r="K18" s="253" t="s">
        <v>106</v>
      </c>
      <c r="L18" s="254"/>
      <c r="M18" s="255"/>
      <c r="N18" s="58"/>
    </row>
    <row r="19" spans="1:25" ht="15.75" x14ac:dyDescent="0.2">
      <c r="A19" s="85" t="s">
        <v>74</v>
      </c>
      <c r="B19" s="79"/>
      <c r="C19" s="80"/>
      <c r="D19" s="79"/>
      <c r="E19" s="80"/>
      <c r="F19" s="81"/>
      <c r="G19" s="83"/>
      <c r="H19" s="83"/>
      <c r="I19" s="253"/>
      <c r="J19" s="255"/>
      <c r="K19" s="253" t="s">
        <v>106</v>
      </c>
      <c r="L19" s="254"/>
      <c r="M19" s="255"/>
      <c r="N19" s="58"/>
    </row>
    <row r="20" spans="1:25" ht="15.75" x14ac:dyDescent="0.2">
      <c r="A20" s="86" t="s">
        <v>82</v>
      </c>
      <c r="B20" s="87"/>
      <c r="C20" s="88"/>
      <c r="D20" s="87"/>
      <c r="E20" s="88"/>
      <c r="F20" s="89"/>
      <c r="G20" s="90"/>
      <c r="H20" s="90"/>
      <c r="I20" s="253"/>
      <c r="J20" s="255"/>
      <c r="K20" s="253" t="s">
        <v>106</v>
      </c>
      <c r="L20" s="254"/>
      <c r="M20" s="255"/>
      <c r="N20" s="58"/>
    </row>
    <row r="21" spans="1:25" ht="16.5" thickBot="1" x14ac:dyDescent="0.25">
      <c r="A21" s="91" t="s">
        <v>179</v>
      </c>
      <c r="B21" s="92"/>
      <c r="C21" s="93"/>
      <c r="D21" s="92"/>
      <c r="E21" s="94" t="s">
        <v>106</v>
      </c>
      <c r="F21" s="95"/>
      <c r="G21" s="96"/>
      <c r="H21" s="96"/>
      <c r="I21" s="97"/>
      <c r="J21" s="93"/>
      <c r="K21" s="97"/>
      <c r="L21" s="94"/>
      <c r="M21" s="98"/>
      <c r="N21" s="58"/>
    </row>
    <row r="22" spans="1:25" ht="15" x14ac:dyDescent="0.2">
      <c r="A22" s="247" t="s">
        <v>128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9"/>
      <c r="O22" s="1"/>
      <c r="P22" s="1"/>
      <c r="Q22" s="1"/>
    </row>
    <row r="23" spans="1:25" x14ac:dyDescent="0.2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37"/>
      <c r="O23" s="1"/>
      <c r="P23" s="1"/>
      <c r="Q23" s="1"/>
      <c r="R23" s="1"/>
      <c r="S23" s="1"/>
      <c r="T23" s="1"/>
      <c r="U23" s="1"/>
    </row>
    <row r="24" spans="1:25" ht="15.75" x14ac:dyDescent="0.25">
      <c r="A24" s="101" t="s">
        <v>130</v>
      </c>
      <c r="B24" s="259" t="s">
        <v>180</v>
      </c>
      <c r="C24" s="260"/>
      <c r="D24" s="260"/>
      <c r="E24" s="260"/>
      <c r="F24" s="261"/>
      <c r="G24" s="100"/>
      <c r="H24" s="100"/>
      <c r="I24" s="100"/>
      <c r="J24" s="100"/>
      <c r="K24" s="100"/>
      <c r="L24" s="100"/>
      <c r="M24" s="100"/>
      <c r="N24" s="37"/>
      <c r="O24" s="1"/>
      <c r="P24" s="1"/>
      <c r="Q24" s="1"/>
      <c r="R24" s="1"/>
      <c r="S24" s="1"/>
      <c r="T24" s="1"/>
      <c r="U24" s="1"/>
    </row>
    <row r="25" spans="1:25" ht="15.75" x14ac:dyDescent="0.25">
      <c r="A25" s="101"/>
      <c r="B25" s="100" t="s">
        <v>58</v>
      </c>
      <c r="C25" s="102"/>
      <c r="D25" s="100" t="s">
        <v>56</v>
      </c>
      <c r="E25" s="100"/>
      <c r="F25" s="100" t="s">
        <v>133</v>
      </c>
      <c r="G25" s="100"/>
      <c r="H25" s="100"/>
      <c r="I25" s="100"/>
      <c r="J25" s="100"/>
      <c r="K25" s="100"/>
      <c r="L25" s="100"/>
      <c r="M25" s="100"/>
      <c r="N25" s="37"/>
      <c r="O25" s="1"/>
      <c r="P25" s="1"/>
      <c r="Q25" s="1"/>
      <c r="R25" s="1"/>
      <c r="S25" s="1"/>
      <c r="T25" s="1"/>
      <c r="U25" s="1"/>
    </row>
    <row r="26" spans="1:25" ht="15.75" x14ac:dyDescent="0.25">
      <c r="A26" s="101" t="s">
        <v>57</v>
      </c>
      <c r="B26" s="103">
        <v>24</v>
      </c>
      <c r="C26" s="100"/>
      <c r="D26" s="103">
        <v>26</v>
      </c>
      <c r="E26" s="100"/>
      <c r="F26" s="104" t="s">
        <v>131</v>
      </c>
      <c r="G26" s="100"/>
      <c r="H26" s="100" t="s">
        <v>132</v>
      </c>
      <c r="I26" s="100"/>
      <c r="J26" s="100"/>
      <c r="K26" s="100"/>
      <c r="L26" s="100"/>
      <c r="M26" s="100"/>
      <c r="N26" s="37"/>
      <c r="O26" s="105"/>
      <c r="P26" s="105"/>
      <c r="Q26" s="105"/>
      <c r="R26" s="106"/>
      <c r="S26" s="106"/>
      <c r="T26" s="106"/>
      <c r="U26" s="106"/>
      <c r="V26" s="106"/>
      <c r="W26" s="106"/>
      <c r="X26" s="106"/>
      <c r="Y26" s="106"/>
    </row>
    <row r="27" spans="1:25" ht="13.5" thickBot="1" x14ac:dyDescent="0.25">
      <c r="A27" s="107"/>
      <c r="B27" s="108" t="s">
        <v>8</v>
      </c>
      <c r="C27" s="109" t="s">
        <v>9</v>
      </c>
      <c r="D27" s="109" t="s">
        <v>10</v>
      </c>
      <c r="E27" s="108" t="s">
        <v>11</v>
      </c>
      <c r="F27" s="109" t="s">
        <v>12</v>
      </c>
      <c r="G27" s="109" t="s">
        <v>19</v>
      </c>
      <c r="H27" s="109" t="s">
        <v>13</v>
      </c>
      <c r="I27" s="109" t="s">
        <v>14</v>
      </c>
      <c r="J27" s="109" t="s">
        <v>15</v>
      </c>
      <c r="K27" s="109" t="s">
        <v>16</v>
      </c>
      <c r="L27" s="109" t="s">
        <v>17</v>
      </c>
      <c r="M27" s="109" t="s">
        <v>18</v>
      </c>
      <c r="N27" s="110" t="s">
        <v>72</v>
      </c>
    </row>
    <row r="28" spans="1:25" ht="15" thickBot="1" x14ac:dyDescent="0.25">
      <c r="A28" s="111" t="s">
        <v>76</v>
      </c>
      <c r="B28" s="50">
        <v>23.207045840407467</v>
      </c>
      <c r="C28" s="51">
        <v>22.263339382940103</v>
      </c>
      <c r="D28" s="51">
        <v>21.254753820033958</v>
      </c>
      <c r="E28" s="51">
        <v>18.455000000000005</v>
      </c>
      <c r="F28" s="51">
        <v>15.411714770797962</v>
      </c>
      <c r="G28" s="51">
        <v>12.9690350877193</v>
      </c>
      <c r="H28" s="51">
        <v>12.73979909451047</v>
      </c>
      <c r="I28" s="51">
        <v>15.357640067911715</v>
      </c>
      <c r="J28" s="51">
        <v>18.012105263157892</v>
      </c>
      <c r="K28" s="51">
        <v>21.42506791171477</v>
      </c>
      <c r="L28" s="51">
        <v>22.373695529145444</v>
      </c>
      <c r="M28" s="52">
        <v>23.39049235993209</v>
      </c>
      <c r="N28" s="6">
        <f t="shared" ref="N28:N35" si="0">AVERAGE(B28:M28)</f>
        <v>18.904974094022595</v>
      </c>
    </row>
    <row r="29" spans="1:25" ht="15" thickBot="1" x14ac:dyDescent="0.25">
      <c r="A29" s="111" t="s">
        <v>77</v>
      </c>
      <c r="B29" s="112">
        <v>29.6</v>
      </c>
      <c r="C29" s="113">
        <v>28.25</v>
      </c>
      <c r="D29" s="113">
        <v>25.7</v>
      </c>
      <c r="E29" s="113">
        <v>23.2</v>
      </c>
      <c r="F29" s="113">
        <v>21.25</v>
      </c>
      <c r="G29" s="113">
        <v>20.6</v>
      </c>
      <c r="H29" s="113">
        <v>18.950000000000003</v>
      </c>
      <c r="I29" s="113">
        <v>21.7</v>
      </c>
      <c r="J29" s="113">
        <v>25.7</v>
      </c>
      <c r="K29" s="113">
        <v>28.7</v>
      </c>
      <c r="L29" s="113">
        <v>28.35</v>
      </c>
      <c r="M29" s="114">
        <v>30.9</v>
      </c>
      <c r="N29" s="7">
        <f t="shared" si="0"/>
        <v>25.241666666666664</v>
      </c>
    </row>
    <row r="30" spans="1:25" ht="15" thickBot="1" x14ac:dyDescent="0.25">
      <c r="A30" s="111" t="s">
        <v>78</v>
      </c>
      <c r="B30" s="53">
        <v>18.25</v>
      </c>
      <c r="C30" s="42">
        <v>18.7</v>
      </c>
      <c r="D30" s="42">
        <v>17.149999999999999</v>
      </c>
      <c r="E30" s="42">
        <v>14.55</v>
      </c>
      <c r="F30" s="42">
        <v>11.55</v>
      </c>
      <c r="G30" s="42">
        <v>8.6</v>
      </c>
      <c r="H30" s="42">
        <v>5.55</v>
      </c>
      <c r="I30" s="42">
        <v>8.1499999999999986</v>
      </c>
      <c r="J30" s="42">
        <v>12.35</v>
      </c>
      <c r="K30" s="42">
        <v>15.35</v>
      </c>
      <c r="L30" s="42">
        <v>16.8</v>
      </c>
      <c r="M30" s="54">
        <v>18.049999999999997</v>
      </c>
      <c r="N30" s="8">
        <f t="shared" si="0"/>
        <v>13.754166666666668</v>
      </c>
    </row>
    <row r="31" spans="1:25" ht="15" thickBot="1" x14ac:dyDescent="0.25">
      <c r="A31" s="111" t="s">
        <v>79</v>
      </c>
      <c r="B31" s="44">
        <v>7.6</v>
      </c>
      <c r="C31" s="45">
        <v>8.5</v>
      </c>
      <c r="D31" s="45">
        <v>6.5</v>
      </c>
      <c r="E31" s="45">
        <v>6.3</v>
      </c>
      <c r="F31" s="45">
        <v>4</v>
      </c>
      <c r="G31" s="45">
        <v>3.7</v>
      </c>
      <c r="H31" s="45">
        <v>4</v>
      </c>
      <c r="I31" s="45">
        <v>5.5</v>
      </c>
      <c r="J31" s="45">
        <v>5.2</v>
      </c>
      <c r="K31" s="45">
        <v>6.3</v>
      </c>
      <c r="L31" s="45">
        <v>6.5</v>
      </c>
      <c r="M31" s="46">
        <v>6.1</v>
      </c>
      <c r="N31" s="7">
        <f t="shared" si="0"/>
        <v>5.8500000000000005</v>
      </c>
    </row>
    <row r="32" spans="1:25" ht="15" thickBot="1" x14ac:dyDescent="0.25">
      <c r="A32" s="115" t="s">
        <v>80</v>
      </c>
      <c r="B32" s="55">
        <v>63</v>
      </c>
      <c r="C32" s="9">
        <v>68</v>
      </c>
      <c r="D32" s="9">
        <v>73</v>
      </c>
      <c r="E32" s="9">
        <v>75</v>
      </c>
      <c r="F32" s="9">
        <v>79</v>
      </c>
      <c r="G32" s="9">
        <v>78</v>
      </c>
      <c r="H32" s="9">
        <v>78</v>
      </c>
      <c r="I32" s="9">
        <v>69</v>
      </c>
      <c r="J32" s="9">
        <v>63</v>
      </c>
      <c r="K32" s="9">
        <v>68</v>
      </c>
      <c r="L32" s="9">
        <v>62</v>
      </c>
      <c r="M32" s="56">
        <v>58</v>
      </c>
      <c r="N32" s="43">
        <f t="shared" si="0"/>
        <v>69.5</v>
      </c>
    </row>
    <row r="33" spans="1:17" ht="15" thickBot="1" x14ac:dyDescent="0.25">
      <c r="A33" s="116" t="s">
        <v>81</v>
      </c>
      <c r="B33" s="47">
        <v>993.4</v>
      </c>
      <c r="C33" s="48">
        <v>994.9</v>
      </c>
      <c r="D33" s="48">
        <v>996.6</v>
      </c>
      <c r="E33" s="48">
        <v>998.5</v>
      </c>
      <c r="F33" s="48">
        <v>999</v>
      </c>
      <c r="G33" s="48">
        <v>999.7</v>
      </c>
      <c r="H33" s="48">
        <v>999.3</v>
      </c>
      <c r="I33" s="48">
        <v>1000.8</v>
      </c>
      <c r="J33" s="48">
        <v>1000.4</v>
      </c>
      <c r="K33" s="48">
        <v>998.2</v>
      </c>
      <c r="L33" s="48">
        <v>995.6</v>
      </c>
      <c r="M33" s="49">
        <v>993.8</v>
      </c>
      <c r="N33" s="43">
        <f t="shared" si="0"/>
        <v>997.51666666666677</v>
      </c>
    </row>
    <row r="34" spans="1:17" ht="15" thickBot="1" x14ac:dyDescent="0.25">
      <c r="A34" s="116" t="s">
        <v>75</v>
      </c>
      <c r="B34" s="117">
        <v>12</v>
      </c>
      <c r="C34" s="118">
        <v>11</v>
      </c>
      <c r="D34" s="118">
        <v>10</v>
      </c>
      <c r="E34" s="118">
        <v>9</v>
      </c>
      <c r="F34" s="118">
        <v>8</v>
      </c>
      <c r="G34" s="118">
        <v>10</v>
      </c>
      <c r="H34" s="118">
        <v>10</v>
      </c>
      <c r="I34" s="118">
        <v>12</v>
      </c>
      <c r="J34" s="118">
        <v>13</v>
      </c>
      <c r="K34" s="118">
        <v>13</v>
      </c>
      <c r="L34" s="118">
        <v>14</v>
      </c>
      <c r="M34" s="119">
        <v>13</v>
      </c>
      <c r="N34" s="7">
        <f t="shared" si="0"/>
        <v>11.25</v>
      </c>
      <c r="Q34" s="120"/>
    </row>
    <row r="35" spans="1:17" ht="15" thickBot="1" x14ac:dyDescent="0.25">
      <c r="A35" s="116" t="s">
        <v>178</v>
      </c>
      <c r="B35" s="50">
        <v>1</v>
      </c>
      <c r="C35" s="51">
        <v>1</v>
      </c>
      <c r="D35" s="51">
        <v>1</v>
      </c>
      <c r="E35" s="51">
        <v>1</v>
      </c>
      <c r="F35" s="51">
        <v>1</v>
      </c>
      <c r="G35" s="51">
        <v>1</v>
      </c>
      <c r="H35" s="51">
        <v>1</v>
      </c>
      <c r="I35" s="51">
        <v>1</v>
      </c>
      <c r="J35" s="51">
        <v>1</v>
      </c>
      <c r="K35" s="51">
        <v>1</v>
      </c>
      <c r="L35" s="51">
        <v>1</v>
      </c>
      <c r="M35" s="52">
        <v>1</v>
      </c>
      <c r="N35" s="10">
        <f t="shared" si="0"/>
        <v>1</v>
      </c>
    </row>
    <row r="36" spans="1:17" ht="14.25" x14ac:dyDescent="0.2">
      <c r="A36" s="116" t="s">
        <v>73</v>
      </c>
      <c r="B36" s="121"/>
      <c r="C36" s="121"/>
      <c r="D36" s="100"/>
      <c r="E36" s="122">
        <v>1200</v>
      </c>
      <c r="F36" s="121"/>
      <c r="G36" s="121"/>
      <c r="H36" s="121"/>
      <c r="I36" s="121"/>
      <c r="J36" s="121"/>
      <c r="K36" s="121"/>
      <c r="L36" s="121"/>
      <c r="M36" s="121"/>
      <c r="N36" s="37"/>
    </row>
    <row r="37" spans="1:17" ht="14.25" x14ac:dyDescent="0.2">
      <c r="A37" s="116" t="s">
        <v>74</v>
      </c>
      <c r="B37" s="121"/>
      <c r="C37" s="121"/>
      <c r="D37" s="100"/>
      <c r="E37" s="122">
        <v>10</v>
      </c>
      <c r="F37" s="121"/>
      <c r="G37" s="121"/>
      <c r="H37" s="121"/>
      <c r="I37" s="121"/>
      <c r="J37" s="121"/>
      <c r="K37" s="121"/>
      <c r="L37" s="121"/>
      <c r="M37" s="121"/>
      <c r="N37" s="37"/>
    </row>
    <row r="38" spans="1:17" ht="15" thickBot="1" x14ac:dyDescent="0.25">
      <c r="A38" s="99" t="s">
        <v>82</v>
      </c>
      <c r="B38" s="2"/>
      <c r="C38" s="2"/>
      <c r="D38" s="100"/>
      <c r="E38" s="123">
        <v>21</v>
      </c>
      <c r="F38" s="2"/>
      <c r="G38" s="2"/>
      <c r="H38" s="2"/>
      <c r="I38" s="2"/>
      <c r="J38" s="2"/>
      <c r="K38" s="2"/>
      <c r="L38" s="2"/>
      <c r="M38" s="2"/>
      <c r="N38" s="37"/>
    </row>
    <row r="39" spans="1:17" x14ac:dyDescent="0.2">
      <c r="A39" s="99"/>
      <c r="B39" s="2"/>
      <c r="C39" s="2"/>
      <c r="D39" s="100"/>
      <c r="E39" s="100"/>
      <c r="F39" s="2"/>
      <c r="G39" s="2"/>
      <c r="H39" s="2"/>
      <c r="I39" s="2"/>
      <c r="J39" s="2"/>
      <c r="K39" s="2"/>
      <c r="L39" s="2"/>
      <c r="M39" s="2"/>
      <c r="N39" s="37"/>
    </row>
    <row r="40" spans="1:17" s="234" customFormat="1" x14ac:dyDescent="0.2">
      <c r="A40" s="245" t="s">
        <v>84</v>
      </c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7"/>
    </row>
    <row r="41" spans="1:17" s="234" customFormat="1" x14ac:dyDescent="0.2">
      <c r="A41" s="258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7"/>
    </row>
    <row r="42" spans="1:17" s="234" customFormat="1" ht="18" x14ac:dyDescent="0.25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7"/>
    </row>
    <row r="43" spans="1:17" s="234" customFormat="1" ht="20.25" customHeight="1" x14ac:dyDescent="0.2">
      <c r="A43" s="245" t="s">
        <v>115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4"/>
    </row>
    <row r="44" spans="1:17" s="234" customFormat="1" ht="20.25" customHeight="1" x14ac:dyDescent="0.2">
      <c r="A44" s="242" t="str">
        <f>+B24</f>
        <v>Santo Domingo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4"/>
    </row>
    <row r="45" spans="1:17" s="234" customFormat="1" ht="15.75" x14ac:dyDescent="0.25">
      <c r="A45" s="238"/>
      <c r="B45" s="3" t="s">
        <v>8</v>
      </c>
      <c r="C45" s="4" t="s">
        <v>9</v>
      </c>
      <c r="D45" s="4" t="s">
        <v>10</v>
      </c>
      <c r="E45" s="3" t="s">
        <v>11</v>
      </c>
      <c r="F45" s="4" t="s">
        <v>12</v>
      </c>
      <c r="G45" s="4" t="s">
        <v>19</v>
      </c>
      <c r="H45" s="4" t="s">
        <v>13</v>
      </c>
      <c r="I45" s="4" t="s">
        <v>14</v>
      </c>
      <c r="J45" s="4" t="s">
        <v>15</v>
      </c>
      <c r="K45" s="4" t="s">
        <v>16</v>
      </c>
      <c r="L45" s="4" t="s">
        <v>17</v>
      </c>
      <c r="M45" s="4" t="s">
        <v>18</v>
      </c>
      <c r="N45" s="38" t="s">
        <v>72</v>
      </c>
    </row>
    <row r="46" spans="1:17" s="234" customFormat="1" ht="16.5" thickBot="1" x14ac:dyDescent="0.3">
      <c r="A46" s="239" t="s">
        <v>112</v>
      </c>
      <c r="B46" s="5">
        <f>+B68</f>
        <v>118.85492597153566</v>
      </c>
      <c r="C46" s="5">
        <f t="shared" ref="C46:M46" si="1">+C68</f>
        <v>94.667641300100257</v>
      </c>
      <c r="D46" s="5">
        <f t="shared" si="1"/>
        <v>90.663870683553242</v>
      </c>
      <c r="E46" s="5">
        <f t="shared" si="1"/>
        <v>62.184811077850192</v>
      </c>
      <c r="F46" s="5">
        <f t="shared" si="1"/>
        <v>42.468956526222655</v>
      </c>
      <c r="G46" s="5">
        <f t="shared" si="1"/>
        <v>28.228172740104629</v>
      </c>
      <c r="H46" s="5">
        <f t="shared" si="1"/>
        <v>28.46134383799042</v>
      </c>
      <c r="I46" s="5">
        <f t="shared" si="1"/>
        <v>43.305258726059932</v>
      </c>
      <c r="J46" s="5">
        <f t="shared" si="1"/>
        <v>61.193788818213406</v>
      </c>
      <c r="K46" s="5">
        <f t="shared" si="1"/>
        <v>94.8062930970558</v>
      </c>
      <c r="L46" s="5">
        <f t="shared" si="1"/>
        <v>105.26038221009462</v>
      </c>
      <c r="M46" s="5">
        <f t="shared" si="1"/>
        <v>122.00772363975096</v>
      </c>
      <c r="N46" s="39">
        <f>SUM(B46:M46)</f>
        <v>892.10316862853165</v>
      </c>
      <c r="O46" s="240"/>
    </row>
    <row r="47" spans="1:17" s="234" customFormat="1" ht="17.25" thickTop="1" thickBot="1" x14ac:dyDescent="0.3">
      <c r="A47" s="239" t="s">
        <v>113</v>
      </c>
      <c r="B47" s="5">
        <f t="shared" ref="B47:M47" si="2">B77*(B28/(B28+15))*(B76+50)*B78</f>
        <v>144.12196905210101</v>
      </c>
      <c r="C47" s="5">
        <f t="shared" si="2"/>
        <v>136.15076359377142</v>
      </c>
      <c r="D47" s="5">
        <f t="shared" si="2"/>
        <v>113.93472245744381</v>
      </c>
      <c r="E47" s="5">
        <f t="shared" si="2"/>
        <v>92.537475707111838</v>
      </c>
      <c r="F47" s="5">
        <f t="shared" si="2"/>
        <v>58.511945059600073</v>
      </c>
      <c r="G47" s="5">
        <f t="shared" si="2"/>
        <v>47.534406617014191</v>
      </c>
      <c r="H47" s="5">
        <f t="shared" si="2"/>
        <v>50.119071272562287</v>
      </c>
      <c r="I47" s="5">
        <f t="shared" si="2"/>
        <v>72.88085136762345</v>
      </c>
      <c r="J47" s="5">
        <f t="shared" si="2"/>
        <v>87.463668397287904</v>
      </c>
      <c r="K47" s="5">
        <f t="shared" si="2"/>
        <v>115.95960382352814</v>
      </c>
      <c r="L47" s="5">
        <f t="shared" si="2"/>
        <v>127.2246258728125</v>
      </c>
      <c r="M47" s="5">
        <f t="shared" si="2"/>
        <v>127.50057431927993</v>
      </c>
      <c r="N47" s="39">
        <f>SUM(B47:M47)</f>
        <v>1173.9396775401365</v>
      </c>
      <c r="O47" s="240"/>
    </row>
    <row r="48" spans="1:17" s="234" customFormat="1" ht="17.25" thickTop="1" thickBot="1" x14ac:dyDescent="0.3">
      <c r="A48" s="239" t="s">
        <v>114</v>
      </c>
      <c r="B48" s="5">
        <f>B83*31</f>
        <v>171.54747567249802</v>
      </c>
      <c r="C48" s="5">
        <f>C83*28</f>
        <v>130.24178588773646</v>
      </c>
      <c r="D48" s="5">
        <f>D83*31</f>
        <v>118.4479727770504</v>
      </c>
      <c r="E48" s="5">
        <f>E83*30</f>
        <v>88.918606296397456</v>
      </c>
      <c r="F48" s="5">
        <f>F83*31</f>
        <v>73.475338643866976</v>
      </c>
      <c r="G48" s="5">
        <f>G83*30</f>
        <v>65.017950283526389</v>
      </c>
      <c r="H48" s="5">
        <f>H83*31</f>
        <v>73.337737230767658</v>
      </c>
      <c r="I48" s="5">
        <f>I83*31</f>
        <v>94.698437883768406</v>
      </c>
      <c r="J48" s="5">
        <f>J83*30</f>
        <v>119.32968225758087</v>
      </c>
      <c r="K48" s="5">
        <f>K83*31</f>
        <v>156.96654744878799</v>
      </c>
      <c r="L48" s="5">
        <f>L83*30</f>
        <v>159.21931713183827</v>
      </c>
      <c r="M48" s="5">
        <f>M83*31</f>
        <v>184.89316827494798</v>
      </c>
      <c r="N48" s="39">
        <f>SUM(B48:M48)</f>
        <v>1436.0940197887669</v>
      </c>
      <c r="O48" s="240"/>
    </row>
    <row r="49" spans="1:15" s="234" customFormat="1" ht="17.25" thickTop="1" thickBot="1" x14ac:dyDescent="0.3">
      <c r="A49" s="239" t="s">
        <v>116</v>
      </c>
      <c r="B49" s="5">
        <f t="shared" ref="B49:M49" si="3">(B123*B111)</f>
        <v>166.14520881441439</v>
      </c>
      <c r="C49" s="5">
        <f t="shared" si="3"/>
        <v>139.24264223557057</v>
      </c>
      <c r="D49" s="5">
        <f t="shared" si="3"/>
        <v>116.59028962468273</v>
      </c>
      <c r="E49" s="5">
        <f t="shared" si="3"/>
        <v>87.465503105396351</v>
      </c>
      <c r="F49" s="5">
        <f t="shared" si="3"/>
        <v>60.444671346185423</v>
      </c>
      <c r="G49" s="5">
        <f>(G123*G111)</f>
        <v>51.771440781715562</v>
      </c>
      <c r="H49" s="5">
        <f t="shared" si="3"/>
        <v>49.790764228213533</v>
      </c>
      <c r="I49" s="5">
        <f t="shared" si="3"/>
        <v>78.19654119809887</v>
      </c>
      <c r="J49" s="5">
        <f t="shared" si="3"/>
        <v>108.5451164428699</v>
      </c>
      <c r="K49" s="5">
        <f t="shared" si="3"/>
        <v>131.81214189503481</v>
      </c>
      <c r="L49" s="5">
        <f t="shared" si="3"/>
        <v>149.71068943968248</v>
      </c>
      <c r="M49" s="5">
        <f t="shared" si="3"/>
        <v>172.12267932641976</v>
      </c>
      <c r="N49" s="39">
        <f>SUM(B49:M49)</f>
        <v>1311.8376884382844</v>
      </c>
      <c r="O49" s="240"/>
    </row>
    <row r="50" spans="1:15" s="234" customFormat="1" ht="17.25" thickTop="1" thickBot="1" x14ac:dyDescent="0.3">
      <c r="A50" s="241" t="s">
        <v>174</v>
      </c>
      <c r="B50" s="40">
        <f>B55*B35</f>
        <v>177.79606567142858</v>
      </c>
      <c r="C50" s="40">
        <f t="shared" ref="C50:N50" si="4">C55*C35</f>
        <v>150.32111893640629</v>
      </c>
      <c r="D50" s="40">
        <f t="shared" si="4"/>
        <v>148.99407935994429</v>
      </c>
      <c r="E50" s="40">
        <f t="shared" si="4"/>
        <v>129.99290123083028</v>
      </c>
      <c r="F50" s="40">
        <f t="shared" si="4"/>
        <v>116.57507396868616</v>
      </c>
      <c r="G50" s="40">
        <f>G55*G35</f>
        <v>101.3405540893978</v>
      </c>
      <c r="H50" s="40">
        <f t="shared" si="4"/>
        <v>105.09542064681432</v>
      </c>
      <c r="I50" s="40">
        <f t="shared" si="4"/>
        <v>119.51353313454085</v>
      </c>
      <c r="J50" s="40">
        <f t="shared" si="4"/>
        <v>132.64271597938094</v>
      </c>
      <c r="K50" s="40">
        <f t="shared" si="4"/>
        <v>159.13896769651333</v>
      </c>
      <c r="L50" s="40">
        <f t="shared" si="4"/>
        <v>165.95383074290561</v>
      </c>
      <c r="M50" s="40">
        <f t="shared" si="4"/>
        <v>180.46719218095055</v>
      </c>
      <c r="N50" s="41">
        <f t="shared" si="4"/>
        <v>1687.8314536377993</v>
      </c>
      <c r="O50" s="240"/>
    </row>
    <row r="51" spans="1:15" ht="16.5" hidden="1" thickTop="1" x14ac:dyDescent="0.25">
      <c r="A51" s="124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4"/>
    </row>
    <row r="52" spans="1:15" ht="16.5" hidden="1" thickBot="1" x14ac:dyDescent="0.3">
      <c r="A52" s="126" t="s">
        <v>175</v>
      </c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4"/>
    </row>
    <row r="53" spans="1:15" ht="15.75" hidden="1" thickTop="1" x14ac:dyDescent="0.2">
      <c r="A53" s="127" t="s">
        <v>176</v>
      </c>
      <c r="B53" s="128">
        <f>B73*100/4380</f>
        <v>0.30498715388623848</v>
      </c>
      <c r="C53" s="128">
        <f t="shared" ref="C53:M53" si="5">C73*100/4380</f>
        <v>0.29223077748935167</v>
      </c>
      <c r="D53" s="128">
        <f t="shared" si="5"/>
        <v>0.27734503355179041</v>
      </c>
      <c r="E53" s="128">
        <f t="shared" si="5"/>
        <v>0.26072678799313703</v>
      </c>
      <c r="F53" s="128">
        <f t="shared" si="5"/>
        <v>0.24708523501264326</v>
      </c>
      <c r="G53" s="128">
        <f t="shared" si="5"/>
        <v>0.23964790792432833</v>
      </c>
      <c r="H53" s="128">
        <f t="shared" si="5"/>
        <v>0.24232311115011435</v>
      </c>
      <c r="I53" s="128">
        <f t="shared" si="5"/>
        <v>0.25372809903541454</v>
      </c>
      <c r="J53" s="128">
        <f t="shared" si="5"/>
        <v>0.26934333021992579</v>
      </c>
      <c r="K53" s="128">
        <f t="shared" si="5"/>
        <v>0.28542471271250336</v>
      </c>
      <c r="L53" s="128">
        <f t="shared" si="5"/>
        <v>0.30028359588809139</v>
      </c>
      <c r="M53" s="128">
        <f t="shared" si="5"/>
        <v>0.30818620648032757</v>
      </c>
      <c r="N53" s="129">
        <f>SUM(B53:M53)</f>
        <v>3.281311951343866</v>
      </c>
      <c r="O53" s="124"/>
    </row>
    <row r="54" spans="1:15" ht="15" hidden="1" x14ac:dyDescent="0.2">
      <c r="A54" s="130"/>
      <c r="B54" s="131">
        <f>B53*31</f>
        <v>9.4546017704733938</v>
      </c>
      <c r="C54" s="131">
        <f>C53*28</f>
        <v>8.1824617697018471</v>
      </c>
      <c r="D54" s="131">
        <f>D53*30</f>
        <v>8.3203510065537127</v>
      </c>
      <c r="E54" s="131">
        <f>E53*30</f>
        <v>7.8218036397941111</v>
      </c>
      <c r="F54" s="131">
        <f t="shared" ref="F54:M54" si="6">F53*31</f>
        <v>7.659642285391941</v>
      </c>
      <c r="G54" s="131">
        <f>G53*30</f>
        <v>7.1894372377298499</v>
      </c>
      <c r="H54" s="131">
        <f t="shared" si="6"/>
        <v>7.5120164456535443</v>
      </c>
      <c r="I54" s="131">
        <f t="shared" si="6"/>
        <v>7.8655710700978512</v>
      </c>
      <c r="J54" s="131">
        <f>J53*30</f>
        <v>8.080299906597773</v>
      </c>
      <c r="K54" s="131">
        <f t="shared" si="6"/>
        <v>8.8481660940876043</v>
      </c>
      <c r="L54" s="131">
        <f>L53*30</f>
        <v>9.0085078766427422</v>
      </c>
      <c r="M54" s="131">
        <f t="shared" si="6"/>
        <v>9.5537724008901552</v>
      </c>
      <c r="N54" s="132">
        <f>SUM(B54:M54)</f>
        <v>99.496631503614523</v>
      </c>
      <c r="O54" s="124"/>
    </row>
    <row r="55" spans="1:15" ht="15.75" hidden="1" thickBot="1" x14ac:dyDescent="0.25">
      <c r="A55" s="133" t="s">
        <v>177</v>
      </c>
      <c r="B55" s="134">
        <f>(0.46*B28+8.13)*B54</f>
        <v>177.79606567142858</v>
      </c>
      <c r="C55" s="134">
        <f t="shared" ref="C55:M55" si="7">(0.46*C28+8.13)*C54</f>
        <v>150.32111893640629</v>
      </c>
      <c r="D55" s="134">
        <f t="shared" si="7"/>
        <v>148.99407935994429</v>
      </c>
      <c r="E55" s="134">
        <f t="shared" si="7"/>
        <v>129.99290123083028</v>
      </c>
      <c r="F55" s="134">
        <f t="shared" si="7"/>
        <v>116.57507396868616</v>
      </c>
      <c r="G55" s="134">
        <f t="shared" si="7"/>
        <v>101.3405540893978</v>
      </c>
      <c r="H55" s="134">
        <f t="shared" si="7"/>
        <v>105.09542064681432</v>
      </c>
      <c r="I55" s="134">
        <f t="shared" si="7"/>
        <v>119.51353313454085</v>
      </c>
      <c r="J55" s="134">
        <f t="shared" si="7"/>
        <v>132.64271597938094</v>
      </c>
      <c r="K55" s="134">
        <f t="shared" si="7"/>
        <v>159.13896769651333</v>
      </c>
      <c r="L55" s="134">
        <f t="shared" si="7"/>
        <v>165.95383074290561</v>
      </c>
      <c r="M55" s="134">
        <f t="shared" si="7"/>
        <v>180.46719218095055</v>
      </c>
      <c r="N55" s="135">
        <f>SUM(B55:M55)</f>
        <v>1687.8314536377993</v>
      </c>
      <c r="O55" s="124"/>
    </row>
    <row r="56" spans="1:15" ht="15.75" hidden="1" thickTop="1" x14ac:dyDescent="0.2">
      <c r="A56" s="136" t="s">
        <v>134</v>
      </c>
      <c r="B56" s="137">
        <f>IF(F26="S",+B26*-1,B26)</f>
        <v>-24</v>
      </c>
      <c r="C56" s="137"/>
      <c r="D56" s="137">
        <f>IF(F26="S",+D26*-1,D26)</f>
        <v>-26</v>
      </c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24"/>
    </row>
    <row r="57" spans="1:15" hidden="1" x14ac:dyDescent="0.2">
      <c r="A57" s="13"/>
      <c r="B57" s="139"/>
      <c r="C57" s="140"/>
      <c r="D57" s="139"/>
      <c r="E57" s="141"/>
      <c r="F57" s="141"/>
      <c r="G57" s="141"/>
      <c r="H57" s="141"/>
      <c r="I57" s="141"/>
      <c r="J57" s="141"/>
      <c r="K57" s="141"/>
      <c r="L57" s="141"/>
      <c r="M57" s="141"/>
      <c r="N57" s="142"/>
    </row>
    <row r="58" spans="1:15" ht="13.5" hidden="1" thickBot="1" x14ac:dyDescent="0.25">
      <c r="A58" s="143" t="s">
        <v>89</v>
      </c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2"/>
    </row>
    <row r="59" spans="1:15" ht="13.5" hidden="1" thickTop="1" x14ac:dyDescent="0.2">
      <c r="A59" s="144" t="s">
        <v>90</v>
      </c>
      <c r="B59" s="145" t="s">
        <v>91</v>
      </c>
      <c r="C59" s="145" t="s">
        <v>92</v>
      </c>
      <c r="D59" s="145" t="s">
        <v>93</v>
      </c>
      <c r="E59" s="145" t="s">
        <v>94</v>
      </c>
      <c r="F59" s="145" t="s">
        <v>95</v>
      </c>
      <c r="G59" s="145" t="s">
        <v>96</v>
      </c>
      <c r="H59" s="145" t="s">
        <v>97</v>
      </c>
      <c r="I59" s="145" t="s">
        <v>98</v>
      </c>
      <c r="J59" s="145" t="s">
        <v>99</v>
      </c>
      <c r="K59" s="145" t="s">
        <v>100</v>
      </c>
      <c r="L59" s="145" t="s">
        <v>101</v>
      </c>
      <c r="M59" s="145" t="s">
        <v>102</v>
      </c>
      <c r="N59" s="146"/>
    </row>
    <row r="60" spans="1:15" hidden="1" x14ac:dyDescent="0.2">
      <c r="A60" s="147" t="s">
        <v>103</v>
      </c>
      <c r="B60" s="148">
        <f>(B28/5)^1.514</f>
        <v>10.216635084856195</v>
      </c>
      <c r="C60" s="148">
        <f t="shared" ref="C60:M60" si="8">(C28/5)^1.514</f>
        <v>9.5942523650328599</v>
      </c>
      <c r="D60" s="148">
        <f t="shared" si="8"/>
        <v>8.9439202339126815</v>
      </c>
      <c r="E60" s="148">
        <f t="shared" si="8"/>
        <v>7.2219767246378934</v>
      </c>
      <c r="F60" s="148">
        <f t="shared" si="8"/>
        <v>5.4975067479559563</v>
      </c>
      <c r="G60" s="148">
        <f t="shared" si="8"/>
        <v>4.2335200272874909</v>
      </c>
      <c r="H60" s="148">
        <f t="shared" si="8"/>
        <v>4.1207432741481647</v>
      </c>
      <c r="I60" s="148">
        <f t="shared" si="8"/>
        <v>5.4683296018975005</v>
      </c>
      <c r="J60" s="148">
        <f t="shared" si="8"/>
        <v>6.9611987028970477</v>
      </c>
      <c r="K60" s="148">
        <f t="shared" si="8"/>
        <v>9.0526480288390356</v>
      </c>
      <c r="L60" s="148">
        <f t="shared" si="8"/>
        <v>9.6663457952827123</v>
      </c>
      <c r="M60" s="148">
        <f t="shared" si="8"/>
        <v>10.339154138943941</v>
      </c>
      <c r="N60" s="19"/>
    </row>
    <row r="61" spans="1:15" hidden="1" x14ac:dyDescent="0.2">
      <c r="A61" s="147" t="s">
        <v>104</v>
      </c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9"/>
    </row>
    <row r="62" spans="1:15" hidden="1" x14ac:dyDescent="0.2">
      <c r="A62" s="147" t="s">
        <v>105</v>
      </c>
      <c r="B62" s="148">
        <f>SUM(B60:M60)</f>
        <v>91.316230725691469</v>
      </c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9"/>
    </row>
    <row r="63" spans="1:15" hidden="1" x14ac:dyDescent="0.2">
      <c r="A63" s="150" t="s">
        <v>106</v>
      </c>
      <c r="B63" s="151">
        <f>(6.75*10^(-7)*$B$62^3)-(7.71*10^(-5)*$B$62^2)+(1.792*10^(-2)*$B$62)+0.49239</f>
        <v>1.9998483868068231</v>
      </c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9"/>
    </row>
    <row r="64" spans="1:15" hidden="1" x14ac:dyDescent="0.2">
      <c r="A64" s="147" t="s">
        <v>107</v>
      </c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52"/>
    </row>
    <row r="65" spans="1:14" hidden="1" x14ac:dyDescent="0.2">
      <c r="A65" s="147" t="s">
        <v>90</v>
      </c>
      <c r="B65" s="153" t="s">
        <v>91</v>
      </c>
      <c r="C65" s="153" t="s">
        <v>92</v>
      </c>
      <c r="D65" s="153" t="s">
        <v>93</v>
      </c>
      <c r="E65" s="153" t="s">
        <v>94</v>
      </c>
      <c r="F65" s="153" t="s">
        <v>95</v>
      </c>
      <c r="G65" s="153" t="s">
        <v>96</v>
      </c>
      <c r="H65" s="153" t="s">
        <v>97</v>
      </c>
      <c r="I65" s="153" t="s">
        <v>98</v>
      </c>
      <c r="J65" s="153" t="s">
        <v>99</v>
      </c>
      <c r="K65" s="153" t="s">
        <v>100</v>
      </c>
      <c r="L65" s="153" t="s">
        <v>101</v>
      </c>
      <c r="M65" s="153" t="s">
        <v>102</v>
      </c>
      <c r="N65" s="154" t="s">
        <v>108</v>
      </c>
    </row>
    <row r="66" spans="1:14" hidden="1" x14ac:dyDescent="0.2">
      <c r="A66" s="147" t="s">
        <v>109</v>
      </c>
      <c r="B66" s="155">
        <f>16*(10*B28/$B$62)^$B$63</f>
        <v>103.32426750712943</v>
      </c>
      <c r="C66" s="155">
        <f t="shared" ref="C66:M66" si="9">16*(10*C28/$B$62)^$B$63</f>
        <v>95.092433593481928</v>
      </c>
      <c r="D66" s="155">
        <f t="shared" si="9"/>
        <v>86.672347486221028</v>
      </c>
      <c r="E66" s="155">
        <f t="shared" si="9"/>
        <v>65.344012684746517</v>
      </c>
      <c r="F66" s="155">
        <f t="shared" si="9"/>
        <v>45.571307855928623</v>
      </c>
      <c r="G66" s="155">
        <f t="shared" si="9"/>
        <v>32.27128508309395</v>
      </c>
      <c r="H66" s="155">
        <f t="shared" si="9"/>
        <v>31.140620518514211</v>
      </c>
      <c r="I66" s="155">
        <f t="shared" si="9"/>
        <v>45.252103145823874</v>
      </c>
      <c r="J66" s="155">
        <f t="shared" si="9"/>
        <v>62.245542075765044</v>
      </c>
      <c r="K66" s="155">
        <f t="shared" si="9"/>
        <v>88.066814975123137</v>
      </c>
      <c r="L66" s="155">
        <f t="shared" si="9"/>
        <v>96.037416876496295</v>
      </c>
      <c r="M66" s="155">
        <f t="shared" si="9"/>
        <v>104.96410903660619</v>
      </c>
      <c r="N66" s="156">
        <f>SUM(B66:M66)</f>
        <v>855.9822608389303</v>
      </c>
    </row>
    <row r="67" spans="1:14" hidden="1" x14ac:dyDescent="0.2">
      <c r="A67" s="147" t="s">
        <v>110</v>
      </c>
      <c r="B67" s="153">
        <f>B73/12*31/30</f>
        <v>1.150309882074263</v>
      </c>
      <c r="C67" s="153">
        <f>C73/12*28/30</f>
        <v>0.99553284864705793</v>
      </c>
      <c r="D67" s="153">
        <f>D73/12*31/30</f>
        <v>1.0460530182128362</v>
      </c>
      <c r="E67" s="153">
        <f>E73/12*30/30</f>
        <v>0.95165277617495037</v>
      </c>
      <c r="F67" s="153">
        <f>F73/12*31/30</f>
        <v>0.93192314472268623</v>
      </c>
      <c r="G67" s="153">
        <f>G73/12*30/30</f>
        <v>0.87471486392379838</v>
      </c>
      <c r="H67" s="153">
        <f t="shared" ref="H67:M67" si="10">H73/12*31/30</f>
        <v>0.91396200088784785</v>
      </c>
      <c r="I67" s="153">
        <f t="shared" si="10"/>
        <v>0.9569778135285717</v>
      </c>
      <c r="J67" s="153">
        <f>J73/12*30/30</f>
        <v>0.98310315530272918</v>
      </c>
      <c r="K67" s="153">
        <f>K73/12*31/30</f>
        <v>1.0765268747806584</v>
      </c>
      <c r="L67" s="153">
        <f>L73/12*30/30</f>
        <v>1.0960351249915334</v>
      </c>
      <c r="M67" s="153">
        <f t="shared" si="10"/>
        <v>1.1623756421083022</v>
      </c>
      <c r="N67" s="156"/>
    </row>
    <row r="68" spans="1:14" ht="13.5" hidden="1" thickBot="1" x14ac:dyDescent="0.25">
      <c r="A68" s="157" t="s">
        <v>111</v>
      </c>
      <c r="B68" s="158">
        <f>B66*B67</f>
        <v>118.85492597153566</v>
      </c>
      <c r="C68" s="158">
        <f t="shared" ref="C68:M68" si="11">C66*C67</f>
        <v>94.667641300100257</v>
      </c>
      <c r="D68" s="158">
        <f t="shared" si="11"/>
        <v>90.663870683553242</v>
      </c>
      <c r="E68" s="158">
        <f t="shared" si="11"/>
        <v>62.184811077850192</v>
      </c>
      <c r="F68" s="158">
        <f t="shared" si="11"/>
        <v>42.468956526222655</v>
      </c>
      <c r="G68" s="158">
        <f t="shared" si="11"/>
        <v>28.228172740104629</v>
      </c>
      <c r="H68" s="158">
        <f t="shared" si="11"/>
        <v>28.46134383799042</v>
      </c>
      <c r="I68" s="158">
        <f t="shared" si="11"/>
        <v>43.305258726059932</v>
      </c>
      <c r="J68" s="158">
        <f t="shared" si="11"/>
        <v>61.193788818213406</v>
      </c>
      <c r="K68" s="158">
        <f t="shared" si="11"/>
        <v>94.8062930970558</v>
      </c>
      <c r="L68" s="158">
        <f t="shared" si="11"/>
        <v>105.26038221009462</v>
      </c>
      <c r="M68" s="158">
        <f t="shared" si="11"/>
        <v>122.00772363975096</v>
      </c>
      <c r="N68" s="159">
        <f>SUM(B68:M68)</f>
        <v>892.10316862853165</v>
      </c>
    </row>
    <row r="69" spans="1:14" ht="15" hidden="1" thickTop="1" x14ac:dyDescent="0.2">
      <c r="A69" s="160"/>
      <c r="B69" s="161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42"/>
    </row>
    <row r="70" spans="1:14" ht="15" hidden="1" thickBot="1" x14ac:dyDescent="0.25">
      <c r="A70" s="163" t="s">
        <v>85</v>
      </c>
      <c r="B70" s="67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4"/>
    </row>
    <row r="71" spans="1:14" ht="13.5" hidden="1" thickTop="1" x14ac:dyDescent="0.2">
      <c r="A71" s="165" t="s">
        <v>28</v>
      </c>
      <c r="B71" s="166">
        <v>15</v>
      </c>
      <c r="C71" s="166">
        <v>46</v>
      </c>
      <c r="D71" s="166">
        <v>74</v>
      </c>
      <c r="E71" s="166">
        <v>105</v>
      </c>
      <c r="F71" s="166">
        <v>135</v>
      </c>
      <c r="G71" s="166">
        <v>166</v>
      </c>
      <c r="H71" s="166">
        <v>196</v>
      </c>
      <c r="I71" s="166">
        <v>227</v>
      </c>
      <c r="J71" s="166">
        <v>258</v>
      </c>
      <c r="K71" s="166">
        <v>288</v>
      </c>
      <c r="L71" s="166">
        <v>319</v>
      </c>
      <c r="M71" s="167">
        <v>349</v>
      </c>
      <c r="N71" s="168"/>
    </row>
    <row r="72" spans="1:14" hidden="1" x14ac:dyDescent="0.2">
      <c r="A72" s="169" t="s">
        <v>3</v>
      </c>
      <c r="B72" s="11">
        <f t="shared" ref="B72:M72" si="12">$D$56/60+$B$56</f>
        <v>-24.433333333333334</v>
      </c>
      <c r="C72" s="11">
        <f t="shared" si="12"/>
        <v>-24.433333333333334</v>
      </c>
      <c r="D72" s="11">
        <f t="shared" si="12"/>
        <v>-24.433333333333334</v>
      </c>
      <c r="E72" s="11">
        <f t="shared" si="12"/>
        <v>-24.433333333333334</v>
      </c>
      <c r="F72" s="11">
        <f t="shared" si="12"/>
        <v>-24.433333333333334</v>
      </c>
      <c r="G72" s="11">
        <f t="shared" si="12"/>
        <v>-24.433333333333334</v>
      </c>
      <c r="H72" s="11">
        <f t="shared" si="12"/>
        <v>-24.433333333333334</v>
      </c>
      <c r="I72" s="11">
        <f t="shared" si="12"/>
        <v>-24.433333333333334</v>
      </c>
      <c r="J72" s="11">
        <f t="shared" si="12"/>
        <v>-24.433333333333334</v>
      </c>
      <c r="K72" s="11">
        <f t="shared" si="12"/>
        <v>-24.433333333333334</v>
      </c>
      <c r="L72" s="11">
        <f t="shared" si="12"/>
        <v>-24.433333333333334</v>
      </c>
      <c r="M72" s="16">
        <f t="shared" si="12"/>
        <v>-24.433333333333334</v>
      </c>
      <c r="N72" s="170"/>
    </row>
    <row r="73" spans="1:14" hidden="1" x14ac:dyDescent="0.2">
      <c r="A73" s="171" t="s">
        <v>29</v>
      </c>
      <c r="B73" s="172">
        <f t="shared" ref="B73:M73" si="13">B139</f>
        <v>13.358437340217245</v>
      </c>
      <c r="C73" s="172">
        <f t="shared" si="13"/>
        <v>12.799708054033603</v>
      </c>
      <c r="D73" s="172">
        <f t="shared" si="13"/>
        <v>12.14771246956842</v>
      </c>
      <c r="E73" s="172">
        <f t="shared" si="13"/>
        <v>11.419833314099403</v>
      </c>
      <c r="F73" s="172">
        <f t="shared" si="13"/>
        <v>10.822333293553775</v>
      </c>
      <c r="G73" s="172">
        <f t="shared" si="13"/>
        <v>10.496578367085581</v>
      </c>
      <c r="H73" s="172">
        <f t="shared" si="13"/>
        <v>10.613752268375007</v>
      </c>
      <c r="I73" s="172">
        <f t="shared" si="13"/>
        <v>11.113290737751155</v>
      </c>
      <c r="J73" s="172">
        <f t="shared" si="13"/>
        <v>11.79723786363275</v>
      </c>
      <c r="K73" s="172">
        <f t="shared" si="13"/>
        <v>12.501602416807648</v>
      </c>
      <c r="L73" s="172">
        <f t="shared" si="13"/>
        <v>13.152421499898402</v>
      </c>
      <c r="M73" s="173">
        <f t="shared" si="13"/>
        <v>13.498555843838348</v>
      </c>
      <c r="N73" s="67"/>
    </row>
    <row r="74" spans="1:14" hidden="1" x14ac:dyDescent="0.2">
      <c r="A74" s="174" t="s">
        <v>26</v>
      </c>
      <c r="B74" s="175">
        <f t="shared" ref="B74:M74" si="14">B31/B73</f>
        <v>0.5689288205229851</v>
      </c>
      <c r="C74" s="175">
        <f t="shared" si="14"/>
        <v>0.66407764646798906</v>
      </c>
      <c r="D74" s="175">
        <f t="shared" si="14"/>
        <v>0.535080165610055</v>
      </c>
      <c r="E74" s="175">
        <f t="shared" si="14"/>
        <v>0.55167179999219051</v>
      </c>
      <c r="F74" s="175">
        <f t="shared" si="14"/>
        <v>0.3696060628979671</v>
      </c>
      <c r="G74" s="175">
        <f t="shared" si="14"/>
        <v>0.35249582012384106</v>
      </c>
      <c r="H74" s="175">
        <f t="shared" si="14"/>
        <v>0.37686954611881196</v>
      </c>
      <c r="I74" s="175">
        <f t="shared" si="14"/>
        <v>0.49490291667767161</v>
      </c>
      <c r="J74" s="175">
        <f t="shared" si="14"/>
        <v>0.44078114386673495</v>
      </c>
      <c r="K74" s="175">
        <f t="shared" si="14"/>
        <v>0.50393539883575489</v>
      </c>
      <c r="L74" s="175">
        <f t="shared" si="14"/>
        <v>0.49420557271907767</v>
      </c>
      <c r="M74" s="176">
        <f t="shared" si="14"/>
        <v>0.45190019366289846</v>
      </c>
      <c r="N74" s="67"/>
    </row>
    <row r="75" spans="1:14" hidden="1" x14ac:dyDescent="0.2">
      <c r="A75" s="174" t="s">
        <v>27</v>
      </c>
      <c r="B75" s="177">
        <f t="shared" ref="B75:M75" si="15">B149</f>
        <v>42.690646977406075</v>
      </c>
      <c r="C75" s="177">
        <f t="shared" si="15"/>
        <v>40.041468131803278</v>
      </c>
      <c r="D75" s="177">
        <f t="shared" si="15"/>
        <v>35.659519717597497</v>
      </c>
      <c r="E75" s="177">
        <f t="shared" si="15"/>
        <v>29.62524442384143</v>
      </c>
      <c r="F75" s="177">
        <f t="shared" si="15"/>
        <v>24.421326452095201</v>
      </c>
      <c r="G75" s="177">
        <f t="shared" si="15"/>
        <v>21.670754510024281</v>
      </c>
      <c r="H75" s="177">
        <f t="shared" si="15"/>
        <v>22.553489735110123</v>
      </c>
      <c r="I75" s="177">
        <f t="shared" si="15"/>
        <v>26.674382461739377</v>
      </c>
      <c r="J75" s="177">
        <f t="shared" si="15"/>
        <v>32.398377201083917</v>
      </c>
      <c r="K75" s="177">
        <f t="shared" si="15"/>
        <v>37.653693933853909</v>
      </c>
      <c r="L75" s="177">
        <f t="shared" si="15"/>
        <v>41.429361439399649</v>
      </c>
      <c r="M75" s="178">
        <f t="shared" si="15"/>
        <v>43.050394614598744</v>
      </c>
      <c r="N75" s="67"/>
    </row>
    <row r="76" spans="1:14" hidden="1" x14ac:dyDescent="0.2">
      <c r="A76" s="179" t="s">
        <v>34</v>
      </c>
      <c r="B76" s="177">
        <f t="shared" ref="B76:M76" si="16">23.884*B75*(0.18+(0.62*(B31/B73)))</f>
        <v>543.18996438095621</v>
      </c>
      <c r="C76" s="177">
        <f t="shared" si="16"/>
        <v>565.8994588654017</v>
      </c>
      <c r="D76" s="177">
        <f t="shared" si="16"/>
        <v>435.85311187597648</v>
      </c>
      <c r="E76" s="177">
        <f t="shared" si="16"/>
        <v>369.37703194004683</v>
      </c>
      <c r="F76" s="177">
        <f t="shared" si="16"/>
        <v>238.65194598735516</v>
      </c>
      <c r="G76" s="177">
        <f t="shared" si="16"/>
        <v>206.28188171919487</v>
      </c>
      <c r="H76" s="177">
        <f t="shared" si="16"/>
        <v>222.82474346542108</v>
      </c>
      <c r="I76" s="177">
        <f t="shared" si="16"/>
        <v>310.16123634191473</v>
      </c>
      <c r="J76" s="177">
        <f t="shared" si="16"/>
        <v>350.75268626969358</v>
      </c>
      <c r="K76" s="177">
        <f t="shared" si="16"/>
        <v>442.86150010031571</v>
      </c>
      <c r="L76" s="177">
        <f t="shared" si="16"/>
        <v>481.2996264950898</v>
      </c>
      <c r="M76" s="178">
        <f t="shared" si="16"/>
        <v>473.16233332865602</v>
      </c>
      <c r="N76" s="67"/>
    </row>
    <row r="77" spans="1:14" hidden="1" x14ac:dyDescent="0.2">
      <c r="A77" s="179" t="s">
        <v>32</v>
      </c>
      <c r="B77" s="180">
        <v>0.4</v>
      </c>
      <c r="C77" s="180">
        <v>0.37</v>
      </c>
      <c r="D77" s="180">
        <v>0.4</v>
      </c>
      <c r="E77" s="180">
        <v>0.4</v>
      </c>
      <c r="F77" s="180">
        <v>0.4</v>
      </c>
      <c r="G77" s="180">
        <v>0.4</v>
      </c>
      <c r="H77" s="180">
        <v>0.4</v>
      </c>
      <c r="I77" s="180">
        <v>0.4</v>
      </c>
      <c r="J77" s="180">
        <v>0.4</v>
      </c>
      <c r="K77" s="180">
        <v>0.4</v>
      </c>
      <c r="L77" s="180">
        <v>0.4</v>
      </c>
      <c r="M77" s="181">
        <v>0.4</v>
      </c>
      <c r="N77" s="67"/>
    </row>
    <row r="78" spans="1:14" ht="13.5" hidden="1" thickBot="1" x14ac:dyDescent="0.25">
      <c r="A78" s="182" t="s">
        <v>31</v>
      </c>
      <c r="B78" s="183">
        <f t="shared" ref="B78:M78" si="17">1+((50-B128)/70)</f>
        <v>1</v>
      </c>
      <c r="C78" s="183">
        <f t="shared" si="17"/>
        <v>1</v>
      </c>
      <c r="D78" s="183">
        <f t="shared" si="17"/>
        <v>1</v>
      </c>
      <c r="E78" s="183">
        <f t="shared" si="17"/>
        <v>1</v>
      </c>
      <c r="F78" s="183">
        <f t="shared" si="17"/>
        <v>1</v>
      </c>
      <c r="G78" s="183">
        <f t="shared" si="17"/>
        <v>1</v>
      </c>
      <c r="H78" s="183">
        <f t="shared" si="17"/>
        <v>1</v>
      </c>
      <c r="I78" s="183">
        <f t="shared" si="17"/>
        <v>1</v>
      </c>
      <c r="J78" s="183">
        <f t="shared" si="17"/>
        <v>1</v>
      </c>
      <c r="K78" s="183">
        <f t="shared" si="17"/>
        <v>1</v>
      </c>
      <c r="L78" s="183">
        <f t="shared" si="17"/>
        <v>1</v>
      </c>
      <c r="M78" s="184">
        <f t="shared" si="17"/>
        <v>1</v>
      </c>
      <c r="N78" s="67"/>
    </row>
    <row r="79" spans="1:14" ht="14.25" hidden="1" thickTop="1" x14ac:dyDescent="0.25">
      <c r="A79" s="185"/>
      <c r="B79" s="186"/>
      <c r="C79" s="187"/>
      <c r="D79" s="187"/>
      <c r="E79" s="186"/>
      <c r="F79" s="187"/>
      <c r="G79" s="187"/>
      <c r="H79" s="187"/>
      <c r="I79" s="187"/>
      <c r="J79" s="187"/>
      <c r="K79" s="187"/>
      <c r="L79" s="187"/>
      <c r="M79" s="187"/>
      <c r="N79" s="164"/>
    </row>
    <row r="80" spans="1:14" ht="14.25" hidden="1" thickBot="1" x14ac:dyDescent="0.3">
      <c r="A80" s="185" t="s">
        <v>86</v>
      </c>
      <c r="B80" s="186"/>
      <c r="C80" s="187"/>
      <c r="D80" s="187"/>
      <c r="E80" s="186"/>
      <c r="F80" s="187"/>
      <c r="G80" s="187"/>
      <c r="H80" s="187"/>
      <c r="I80" s="187"/>
      <c r="J80" s="187"/>
      <c r="K80" s="187"/>
      <c r="L80" s="187"/>
      <c r="M80" s="187"/>
      <c r="N80" s="164"/>
    </row>
    <row r="81" spans="1:14" ht="13.5" hidden="1" thickTop="1" x14ac:dyDescent="0.2">
      <c r="A81" s="188" t="s">
        <v>20</v>
      </c>
      <c r="B81" s="189">
        <f t="shared" ref="B81:M81" si="18">B29-B30</f>
        <v>11.350000000000001</v>
      </c>
      <c r="C81" s="189">
        <f t="shared" si="18"/>
        <v>9.5500000000000007</v>
      </c>
      <c r="D81" s="189">
        <f t="shared" si="18"/>
        <v>8.5500000000000007</v>
      </c>
      <c r="E81" s="189">
        <f t="shared" si="18"/>
        <v>8.6499999999999986</v>
      </c>
      <c r="F81" s="189">
        <f t="shared" si="18"/>
        <v>9.6999999999999993</v>
      </c>
      <c r="G81" s="189">
        <f t="shared" si="18"/>
        <v>12.000000000000002</v>
      </c>
      <c r="H81" s="189">
        <f t="shared" si="18"/>
        <v>13.400000000000002</v>
      </c>
      <c r="I81" s="189">
        <f t="shared" si="18"/>
        <v>13.55</v>
      </c>
      <c r="J81" s="189">
        <f t="shared" si="18"/>
        <v>13.35</v>
      </c>
      <c r="K81" s="189">
        <f t="shared" si="18"/>
        <v>13.35</v>
      </c>
      <c r="L81" s="189">
        <f t="shared" si="18"/>
        <v>11.55</v>
      </c>
      <c r="M81" s="190">
        <f t="shared" si="18"/>
        <v>12.850000000000001</v>
      </c>
      <c r="N81" s="67"/>
    </row>
    <row r="82" spans="1:14" hidden="1" x14ac:dyDescent="0.2">
      <c r="A82" s="191" t="s">
        <v>21</v>
      </c>
      <c r="B82" s="192">
        <f t="shared" ref="B82:M82" si="19">B148</f>
        <v>17.415597840214382</v>
      </c>
      <c r="C82" s="192">
        <f t="shared" si="19"/>
        <v>16.334868531842936</v>
      </c>
      <c r="D82" s="192">
        <f t="shared" si="19"/>
        <v>14.5472579721163</v>
      </c>
      <c r="E82" s="192">
        <f t="shared" si="19"/>
        <v>12.085582658813692</v>
      </c>
      <c r="F82" s="192">
        <f t="shared" si="19"/>
        <v>9.9626506114881543</v>
      </c>
      <c r="G82" s="192">
        <f t="shared" si="19"/>
        <v>8.8405581119522001</v>
      </c>
      <c r="H82" s="192">
        <f t="shared" si="19"/>
        <v>9.2006688801872762</v>
      </c>
      <c r="I82" s="192">
        <f t="shared" si="19"/>
        <v>10.88178208766859</v>
      </c>
      <c r="J82" s="192">
        <f t="shared" si="19"/>
        <v>13.216878823791756</v>
      </c>
      <c r="K82" s="192">
        <f t="shared" si="19"/>
        <v>15.360778933558439</v>
      </c>
      <c r="L82" s="192">
        <f t="shared" si="19"/>
        <v>16.90105792932421</v>
      </c>
      <c r="M82" s="193">
        <f t="shared" si="19"/>
        <v>17.562356454030443</v>
      </c>
      <c r="N82" s="67"/>
    </row>
    <row r="83" spans="1:14" ht="13.5" hidden="1" thickBot="1" x14ac:dyDescent="0.25">
      <c r="A83" s="194" t="s">
        <v>25</v>
      </c>
      <c r="B83" s="195">
        <f t="shared" ref="B83:M83" si="20">0.0023*B82*((B81)^0.5)*(B28+17.8)</f>
        <v>5.5337895378225168</v>
      </c>
      <c r="C83" s="195">
        <f t="shared" si="20"/>
        <v>4.6514923531334444</v>
      </c>
      <c r="D83" s="195">
        <f t="shared" si="20"/>
        <v>3.8209023476467872</v>
      </c>
      <c r="E83" s="195">
        <f t="shared" si="20"/>
        <v>2.9639535432132487</v>
      </c>
      <c r="F83" s="195">
        <f t="shared" si="20"/>
        <v>2.3701722143182895</v>
      </c>
      <c r="G83" s="195">
        <f t="shared" si="20"/>
        <v>2.1672650094508796</v>
      </c>
      <c r="H83" s="195">
        <f t="shared" si="20"/>
        <v>2.3657334590570214</v>
      </c>
      <c r="I83" s="195">
        <f t="shared" si="20"/>
        <v>3.054788318831239</v>
      </c>
      <c r="J83" s="195">
        <f t="shared" si="20"/>
        <v>3.9776560752526957</v>
      </c>
      <c r="K83" s="195">
        <f t="shared" si="20"/>
        <v>5.0634370144770315</v>
      </c>
      <c r="L83" s="195">
        <f t="shared" si="20"/>
        <v>5.3073105710612758</v>
      </c>
      <c r="M83" s="196">
        <f t="shared" si="20"/>
        <v>5.9642957508047738</v>
      </c>
      <c r="N83" s="67"/>
    </row>
    <row r="84" spans="1:14" ht="14.25" hidden="1" thickTop="1" x14ac:dyDescent="0.25">
      <c r="A84" s="185"/>
      <c r="B84" s="186"/>
      <c r="C84" s="187"/>
      <c r="D84" s="187"/>
      <c r="E84" s="186"/>
      <c r="F84" s="187"/>
      <c r="G84" s="187"/>
      <c r="H84" s="187"/>
      <c r="I84" s="187"/>
      <c r="J84" s="187"/>
      <c r="K84" s="187"/>
      <c r="L84" s="187"/>
      <c r="M84" s="187"/>
      <c r="N84" s="164"/>
    </row>
    <row r="85" spans="1:14" ht="14.25" hidden="1" thickBot="1" x14ac:dyDescent="0.3">
      <c r="A85" s="185" t="s">
        <v>87</v>
      </c>
      <c r="B85" s="186"/>
      <c r="C85" s="187"/>
      <c r="D85" s="187"/>
      <c r="E85" s="186"/>
      <c r="F85" s="187"/>
      <c r="G85" s="187"/>
      <c r="H85" s="187"/>
      <c r="I85" s="187"/>
      <c r="J85" s="187"/>
      <c r="K85" s="187"/>
      <c r="L85" s="187"/>
      <c r="M85" s="187"/>
      <c r="N85" s="164"/>
    </row>
    <row r="86" spans="1:14" ht="14.25" hidden="1" thickTop="1" x14ac:dyDescent="0.25">
      <c r="A86" s="197" t="s">
        <v>28</v>
      </c>
      <c r="B86" s="198">
        <v>15</v>
      </c>
      <c r="C86" s="198">
        <v>46</v>
      </c>
      <c r="D86" s="198">
        <v>74</v>
      </c>
      <c r="E86" s="198">
        <v>105</v>
      </c>
      <c r="F86" s="198">
        <v>135</v>
      </c>
      <c r="G86" s="198">
        <v>166</v>
      </c>
      <c r="H86" s="198">
        <v>196</v>
      </c>
      <c r="I86" s="198">
        <v>227</v>
      </c>
      <c r="J86" s="198">
        <v>258</v>
      </c>
      <c r="K86" s="198">
        <v>288</v>
      </c>
      <c r="L86" s="198">
        <v>319</v>
      </c>
      <c r="M86" s="199">
        <v>349</v>
      </c>
      <c r="N86" s="67"/>
    </row>
    <row r="87" spans="1:14" ht="13.5" hidden="1" x14ac:dyDescent="0.25">
      <c r="A87" s="200" t="s">
        <v>3</v>
      </c>
      <c r="B87" s="15">
        <f t="shared" ref="B87:M87" si="21">B72</f>
        <v>-24.433333333333334</v>
      </c>
      <c r="C87" s="15">
        <f t="shared" si="21"/>
        <v>-24.433333333333334</v>
      </c>
      <c r="D87" s="15">
        <f t="shared" si="21"/>
        <v>-24.433333333333334</v>
      </c>
      <c r="E87" s="15">
        <f t="shared" si="21"/>
        <v>-24.433333333333334</v>
      </c>
      <c r="F87" s="15">
        <f t="shared" si="21"/>
        <v>-24.433333333333334</v>
      </c>
      <c r="G87" s="15">
        <f t="shared" si="21"/>
        <v>-24.433333333333334</v>
      </c>
      <c r="H87" s="15">
        <f t="shared" si="21"/>
        <v>-24.433333333333334</v>
      </c>
      <c r="I87" s="15">
        <f t="shared" si="21"/>
        <v>-24.433333333333334</v>
      </c>
      <c r="J87" s="15">
        <f t="shared" si="21"/>
        <v>-24.433333333333334</v>
      </c>
      <c r="K87" s="15">
        <f t="shared" si="21"/>
        <v>-24.433333333333334</v>
      </c>
      <c r="L87" s="15">
        <f t="shared" si="21"/>
        <v>-24.433333333333334</v>
      </c>
      <c r="M87" s="19">
        <f t="shared" si="21"/>
        <v>-24.433333333333334</v>
      </c>
      <c r="N87" s="67"/>
    </row>
    <row r="88" spans="1:14" ht="13.5" hidden="1" x14ac:dyDescent="0.25">
      <c r="A88" s="200" t="s">
        <v>35</v>
      </c>
      <c r="B88" s="15">
        <f t="shared" ref="B88:M88" si="22">+$E$36</f>
        <v>1200</v>
      </c>
      <c r="C88" s="15">
        <f t="shared" si="22"/>
        <v>1200</v>
      </c>
      <c r="D88" s="15">
        <f t="shared" si="22"/>
        <v>1200</v>
      </c>
      <c r="E88" s="15">
        <f t="shared" si="22"/>
        <v>1200</v>
      </c>
      <c r="F88" s="15">
        <f t="shared" si="22"/>
        <v>1200</v>
      </c>
      <c r="G88" s="15">
        <f t="shared" si="22"/>
        <v>1200</v>
      </c>
      <c r="H88" s="15">
        <f t="shared" si="22"/>
        <v>1200</v>
      </c>
      <c r="I88" s="15">
        <f t="shared" si="22"/>
        <v>1200</v>
      </c>
      <c r="J88" s="15">
        <f t="shared" si="22"/>
        <v>1200</v>
      </c>
      <c r="K88" s="15">
        <f t="shared" si="22"/>
        <v>1200</v>
      </c>
      <c r="L88" s="15">
        <f t="shared" si="22"/>
        <v>1200</v>
      </c>
      <c r="M88" s="19">
        <f t="shared" si="22"/>
        <v>1200</v>
      </c>
      <c r="N88" s="67"/>
    </row>
    <row r="89" spans="1:14" ht="13.5" hidden="1" x14ac:dyDescent="0.25">
      <c r="A89" s="200" t="s">
        <v>36</v>
      </c>
      <c r="B89" s="13">
        <f t="shared" ref="B89:M89" si="23">B33/10</f>
        <v>99.34</v>
      </c>
      <c r="C89" s="13">
        <f t="shared" si="23"/>
        <v>99.49</v>
      </c>
      <c r="D89" s="13">
        <f t="shared" si="23"/>
        <v>99.66</v>
      </c>
      <c r="E89" s="13">
        <f t="shared" si="23"/>
        <v>99.85</v>
      </c>
      <c r="F89" s="13">
        <f t="shared" si="23"/>
        <v>99.9</v>
      </c>
      <c r="G89" s="13">
        <f t="shared" si="23"/>
        <v>99.97</v>
      </c>
      <c r="H89" s="13">
        <f t="shared" si="23"/>
        <v>99.929999999999993</v>
      </c>
      <c r="I89" s="13">
        <f t="shared" si="23"/>
        <v>100.08</v>
      </c>
      <c r="J89" s="13">
        <f t="shared" si="23"/>
        <v>100.03999999999999</v>
      </c>
      <c r="K89" s="13">
        <f t="shared" si="23"/>
        <v>99.820000000000007</v>
      </c>
      <c r="L89" s="13">
        <f t="shared" si="23"/>
        <v>99.56</v>
      </c>
      <c r="M89" s="17">
        <f t="shared" si="23"/>
        <v>99.38</v>
      </c>
      <c r="N89" s="67"/>
    </row>
    <row r="90" spans="1:14" ht="13.5" hidden="1" x14ac:dyDescent="0.25">
      <c r="A90" s="201" t="s">
        <v>37</v>
      </c>
      <c r="B90" s="139">
        <f>101.32*(((288.15-(0.006*B88))/288.15)^(5.255877))</f>
        <v>88.702377617728175</v>
      </c>
      <c r="C90" s="139">
        <f t="shared" ref="C90:M90" si="24">101.32*(((288.15-(0.006*C88))/288.15)^(5.255877))</f>
        <v>88.702377617728175</v>
      </c>
      <c r="D90" s="139">
        <f t="shared" si="24"/>
        <v>88.702377617728175</v>
      </c>
      <c r="E90" s="139">
        <f t="shared" si="24"/>
        <v>88.702377617728175</v>
      </c>
      <c r="F90" s="139">
        <f t="shared" si="24"/>
        <v>88.702377617728175</v>
      </c>
      <c r="G90" s="139">
        <f t="shared" si="24"/>
        <v>88.702377617728175</v>
      </c>
      <c r="H90" s="139">
        <f t="shared" si="24"/>
        <v>88.702377617728175</v>
      </c>
      <c r="I90" s="139">
        <f t="shared" si="24"/>
        <v>88.702377617728175</v>
      </c>
      <c r="J90" s="139">
        <f t="shared" si="24"/>
        <v>88.702377617728175</v>
      </c>
      <c r="K90" s="139">
        <f t="shared" si="24"/>
        <v>88.702377617728175</v>
      </c>
      <c r="L90" s="139">
        <f t="shared" si="24"/>
        <v>88.702377617728175</v>
      </c>
      <c r="M90" s="202">
        <f t="shared" si="24"/>
        <v>88.702377617728175</v>
      </c>
      <c r="N90" s="67"/>
    </row>
    <row r="91" spans="1:14" ht="13.5" hidden="1" x14ac:dyDescent="0.25">
      <c r="A91" s="201" t="s">
        <v>38</v>
      </c>
      <c r="B91" s="14">
        <f t="shared" ref="B91:M91" si="25">B34*0.36</f>
        <v>4.32</v>
      </c>
      <c r="C91" s="14">
        <f t="shared" si="25"/>
        <v>3.96</v>
      </c>
      <c r="D91" s="14">
        <f t="shared" si="25"/>
        <v>3.5999999999999996</v>
      </c>
      <c r="E91" s="14">
        <f t="shared" si="25"/>
        <v>3.2399999999999998</v>
      </c>
      <c r="F91" s="14">
        <f t="shared" si="25"/>
        <v>2.88</v>
      </c>
      <c r="G91" s="14">
        <f t="shared" si="25"/>
        <v>3.5999999999999996</v>
      </c>
      <c r="H91" s="14">
        <f t="shared" si="25"/>
        <v>3.5999999999999996</v>
      </c>
      <c r="I91" s="14">
        <f t="shared" si="25"/>
        <v>4.32</v>
      </c>
      <c r="J91" s="14">
        <f t="shared" si="25"/>
        <v>4.68</v>
      </c>
      <c r="K91" s="14">
        <f t="shared" si="25"/>
        <v>4.68</v>
      </c>
      <c r="L91" s="14">
        <f t="shared" si="25"/>
        <v>5.04</v>
      </c>
      <c r="M91" s="18">
        <f t="shared" si="25"/>
        <v>4.68</v>
      </c>
      <c r="N91" s="67"/>
    </row>
    <row r="92" spans="1:14" ht="13.5" hidden="1" x14ac:dyDescent="0.25">
      <c r="A92" s="201" t="s">
        <v>39</v>
      </c>
      <c r="B92" s="15">
        <f t="shared" ref="B92:M92" si="26">+$E$37</f>
        <v>10</v>
      </c>
      <c r="C92" s="15">
        <f t="shared" si="26"/>
        <v>10</v>
      </c>
      <c r="D92" s="15">
        <f t="shared" si="26"/>
        <v>10</v>
      </c>
      <c r="E92" s="15">
        <f t="shared" si="26"/>
        <v>10</v>
      </c>
      <c r="F92" s="15">
        <f t="shared" si="26"/>
        <v>10</v>
      </c>
      <c r="G92" s="15">
        <f t="shared" si="26"/>
        <v>10</v>
      </c>
      <c r="H92" s="15">
        <f t="shared" si="26"/>
        <v>10</v>
      </c>
      <c r="I92" s="15">
        <f t="shared" si="26"/>
        <v>10</v>
      </c>
      <c r="J92" s="15">
        <f t="shared" si="26"/>
        <v>10</v>
      </c>
      <c r="K92" s="15">
        <f t="shared" si="26"/>
        <v>10</v>
      </c>
      <c r="L92" s="15">
        <f t="shared" si="26"/>
        <v>10</v>
      </c>
      <c r="M92" s="19">
        <f t="shared" si="26"/>
        <v>10</v>
      </c>
      <c r="N92" s="67"/>
    </row>
    <row r="93" spans="1:14" ht="13.5" hidden="1" x14ac:dyDescent="0.25">
      <c r="A93" s="201" t="s">
        <v>40</v>
      </c>
      <c r="B93" s="14">
        <f>(4.868*B91)/(LN(67.75*B92-5.42))</f>
        <v>3.2301906278414556</v>
      </c>
      <c r="C93" s="14">
        <f t="shared" ref="C93:M93" si="27">(4.868*C91)/(LN(67.75*C92-5.42))</f>
        <v>2.9610080755213342</v>
      </c>
      <c r="D93" s="14">
        <f t="shared" si="27"/>
        <v>2.6918255232012123</v>
      </c>
      <c r="E93" s="14">
        <f t="shared" si="27"/>
        <v>2.4226429708810913</v>
      </c>
      <c r="F93" s="14">
        <f t="shared" si="27"/>
        <v>2.1534604185609703</v>
      </c>
      <c r="G93" s="14">
        <f t="shared" si="27"/>
        <v>2.6918255232012123</v>
      </c>
      <c r="H93" s="14">
        <f t="shared" si="27"/>
        <v>2.6918255232012123</v>
      </c>
      <c r="I93" s="14">
        <f t="shared" si="27"/>
        <v>3.2301906278414556</v>
      </c>
      <c r="J93" s="14">
        <f t="shared" si="27"/>
        <v>3.4993731801615766</v>
      </c>
      <c r="K93" s="14">
        <f t="shared" si="27"/>
        <v>3.4993731801615766</v>
      </c>
      <c r="L93" s="14">
        <f t="shared" si="27"/>
        <v>3.7685557324816976</v>
      </c>
      <c r="M93" s="18">
        <f t="shared" si="27"/>
        <v>3.4993731801615766</v>
      </c>
      <c r="N93" s="67"/>
    </row>
    <row r="94" spans="1:14" ht="13.5" hidden="1" x14ac:dyDescent="0.25">
      <c r="A94" s="201" t="s">
        <v>59</v>
      </c>
      <c r="B94" s="15">
        <f>B139</f>
        <v>13.358437340217245</v>
      </c>
      <c r="C94" s="15">
        <f t="shared" ref="C94:M94" si="28">C139</f>
        <v>12.799708054033603</v>
      </c>
      <c r="D94" s="15">
        <f t="shared" si="28"/>
        <v>12.14771246956842</v>
      </c>
      <c r="E94" s="15">
        <f t="shared" si="28"/>
        <v>11.419833314099403</v>
      </c>
      <c r="F94" s="15">
        <f t="shared" si="28"/>
        <v>10.822333293553775</v>
      </c>
      <c r="G94" s="15">
        <f t="shared" si="28"/>
        <v>10.496578367085581</v>
      </c>
      <c r="H94" s="15">
        <f t="shared" si="28"/>
        <v>10.613752268375007</v>
      </c>
      <c r="I94" s="15">
        <f t="shared" si="28"/>
        <v>11.113290737751155</v>
      </c>
      <c r="J94" s="15">
        <f t="shared" si="28"/>
        <v>11.79723786363275</v>
      </c>
      <c r="K94" s="15">
        <f t="shared" si="28"/>
        <v>12.501602416807648</v>
      </c>
      <c r="L94" s="15">
        <f t="shared" si="28"/>
        <v>13.152421499898402</v>
      </c>
      <c r="M94" s="19">
        <f t="shared" si="28"/>
        <v>13.498555843838348</v>
      </c>
      <c r="N94" s="67"/>
    </row>
    <row r="95" spans="1:14" ht="13.5" hidden="1" x14ac:dyDescent="0.25">
      <c r="A95" s="201" t="s">
        <v>26</v>
      </c>
      <c r="B95" s="15">
        <f t="shared" ref="B95:M95" si="29">B31/B94</f>
        <v>0.5689288205229851</v>
      </c>
      <c r="C95" s="15">
        <f t="shared" si="29"/>
        <v>0.66407764646798906</v>
      </c>
      <c r="D95" s="15">
        <f t="shared" si="29"/>
        <v>0.535080165610055</v>
      </c>
      <c r="E95" s="15">
        <f t="shared" si="29"/>
        <v>0.55167179999219051</v>
      </c>
      <c r="F95" s="15">
        <f t="shared" si="29"/>
        <v>0.3696060628979671</v>
      </c>
      <c r="G95" s="15">
        <f t="shared" si="29"/>
        <v>0.35249582012384106</v>
      </c>
      <c r="H95" s="15">
        <f t="shared" si="29"/>
        <v>0.37686954611881196</v>
      </c>
      <c r="I95" s="15">
        <f t="shared" si="29"/>
        <v>0.49490291667767161</v>
      </c>
      <c r="J95" s="15">
        <f t="shared" si="29"/>
        <v>0.44078114386673495</v>
      </c>
      <c r="K95" s="15">
        <f t="shared" si="29"/>
        <v>0.50393539883575489</v>
      </c>
      <c r="L95" s="15">
        <f t="shared" si="29"/>
        <v>0.49420557271907767</v>
      </c>
      <c r="M95" s="19">
        <f t="shared" si="29"/>
        <v>0.45190019366289846</v>
      </c>
      <c r="N95" s="67"/>
    </row>
    <row r="96" spans="1:14" ht="13.5" hidden="1" x14ac:dyDescent="0.25">
      <c r="A96" s="201" t="s">
        <v>27</v>
      </c>
      <c r="B96" s="15">
        <f>B149</f>
        <v>42.690646977406075</v>
      </c>
      <c r="C96" s="15">
        <f t="shared" ref="C96:M96" si="30">C149</f>
        <v>40.041468131803278</v>
      </c>
      <c r="D96" s="15">
        <f t="shared" si="30"/>
        <v>35.659519717597497</v>
      </c>
      <c r="E96" s="15">
        <f t="shared" si="30"/>
        <v>29.62524442384143</v>
      </c>
      <c r="F96" s="15">
        <f t="shared" si="30"/>
        <v>24.421326452095201</v>
      </c>
      <c r="G96" s="15">
        <f t="shared" si="30"/>
        <v>21.670754510024281</v>
      </c>
      <c r="H96" s="15">
        <f t="shared" si="30"/>
        <v>22.553489735110123</v>
      </c>
      <c r="I96" s="15">
        <f t="shared" si="30"/>
        <v>26.674382461739377</v>
      </c>
      <c r="J96" s="15">
        <f t="shared" si="30"/>
        <v>32.398377201083917</v>
      </c>
      <c r="K96" s="15">
        <f t="shared" si="30"/>
        <v>37.653693933853909</v>
      </c>
      <c r="L96" s="15">
        <f t="shared" si="30"/>
        <v>41.429361439399649</v>
      </c>
      <c r="M96" s="19">
        <f t="shared" si="30"/>
        <v>43.050394614598744</v>
      </c>
      <c r="N96" s="67"/>
    </row>
    <row r="97" spans="1:14" ht="13.5" hidden="1" x14ac:dyDescent="0.25">
      <c r="A97" s="203" t="s">
        <v>41</v>
      </c>
      <c r="B97" s="204">
        <f t="shared" ref="B97:M97" si="31">B96*(0.25+(0.5*(B31/B94)))</f>
        <v>22.816631460460911</v>
      </c>
      <c r="C97" s="204">
        <f t="shared" si="31"/>
        <v>23.305688991996277</v>
      </c>
      <c r="D97" s="204">
        <f t="shared" si="31"/>
        <v>18.455230787432921</v>
      </c>
      <c r="E97" s="204">
        <f t="shared" si="31"/>
        <v>15.578017064214961</v>
      </c>
      <c r="F97" s="204">
        <f t="shared" si="31"/>
        <v>10.618466773376245</v>
      </c>
      <c r="G97" s="204">
        <f t="shared" si="31"/>
        <v>9.2371138193627882</v>
      </c>
      <c r="H97" s="204">
        <f t="shared" si="31"/>
        <v>9.8882341537106484</v>
      </c>
      <c r="I97" s="204">
        <f t="shared" si="31"/>
        <v>13.269210455880119</v>
      </c>
      <c r="J97" s="204">
        <f t="shared" si="31"/>
        <v>15.239891181330837</v>
      </c>
      <c r="K97" s="204">
        <f t="shared" si="31"/>
        <v>18.900938118561534</v>
      </c>
      <c r="L97" s="204">
        <f t="shared" si="31"/>
        <v>20.594651008622002</v>
      </c>
      <c r="M97" s="205">
        <f t="shared" si="31"/>
        <v>20.489839485450371</v>
      </c>
      <c r="N97" s="67"/>
    </row>
    <row r="98" spans="1:14" ht="13.5" hidden="1" x14ac:dyDescent="0.25">
      <c r="A98" s="201" t="s">
        <v>42</v>
      </c>
      <c r="B98" s="15">
        <f t="shared" ref="B98:M98" si="32">(0.75+2*(B88)*10^-5)*(B96)</f>
        <v>33.042560760512302</v>
      </c>
      <c r="C98" s="15">
        <f t="shared" si="32"/>
        <v>30.992096334015738</v>
      </c>
      <c r="D98" s="15">
        <f t="shared" si="32"/>
        <v>27.600468261420463</v>
      </c>
      <c r="E98" s="15">
        <f t="shared" si="32"/>
        <v>22.929939184053268</v>
      </c>
      <c r="F98" s="15">
        <f t="shared" si="32"/>
        <v>18.902106673921686</v>
      </c>
      <c r="G98" s="15">
        <f t="shared" si="32"/>
        <v>16.773163990758793</v>
      </c>
      <c r="H98" s="15">
        <f t="shared" si="32"/>
        <v>17.456401054975235</v>
      </c>
      <c r="I98" s="15">
        <f t="shared" si="32"/>
        <v>20.645972025386278</v>
      </c>
      <c r="J98" s="15">
        <f t="shared" si="32"/>
        <v>25.076343953638954</v>
      </c>
      <c r="K98" s="15">
        <f t="shared" si="32"/>
        <v>29.143959104802924</v>
      </c>
      <c r="L98" s="15">
        <f t="shared" si="32"/>
        <v>32.066325754095331</v>
      </c>
      <c r="M98" s="19">
        <f t="shared" si="32"/>
        <v>33.321005431699426</v>
      </c>
      <c r="N98" s="67"/>
    </row>
    <row r="99" spans="1:14" ht="13.5" hidden="1" x14ac:dyDescent="0.25">
      <c r="A99" s="203" t="s">
        <v>43</v>
      </c>
      <c r="B99" s="206">
        <f>(1.35*(B97/B98))-0.35</f>
        <v>0.58220536673516166</v>
      </c>
      <c r="C99" s="206">
        <f t="shared" ref="C99:M99" si="33">(1.35*(C97/C98))-0.35</f>
        <v>0.66518399401278139</v>
      </c>
      <c r="D99" s="206">
        <f t="shared" si="33"/>
        <v>0.55268619093900162</v>
      </c>
      <c r="E99" s="206">
        <f t="shared" si="33"/>
        <v>0.56715563952807313</v>
      </c>
      <c r="F99" s="206">
        <f t="shared" si="33"/>
        <v>0.40837738043427385</v>
      </c>
      <c r="G99" s="206">
        <f t="shared" si="33"/>
        <v>0.39345565708474528</v>
      </c>
      <c r="H99" s="206">
        <f t="shared" si="33"/>
        <v>0.41471181347570818</v>
      </c>
      <c r="I99" s="206">
        <f t="shared" si="33"/>
        <v>0.51764789245145781</v>
      </c>
      <c r="J99" s="206">
        <f t="shared" si="33"/>
        <v>0.47044867197680362</v>
      </c>
      <c r="K99" s="206">
        <f t="shared" si="33"/>
        <v>0.52552505712420483</v>
      </c>
      <c r="L99" s="206">
        <f t="shared" si="33"/>
        <v>0.51703974365035854</v>
      </c>
      <c r="M99" s="207">
        <f t="shared" si="33"/>
        <v>0.48014551772927194</v>
      </c>
      <c r="N99" s="67"/>
    </row>
    <row r="100" spans="1:14" ht="13.5" hidden="1" x14ac:dyDescent="0.25">
      <c r="A100" s="203" t="s">
        <v>44</v>
      </c>
      <c r="B100" s="208">
        <f>(0.6108*(2.718282^(17.27*(B29)/(B29+237.3))))</f>
        <v>4.1466821513182781</v>
      </c>
      <c r="C100" s="208">
        <f>(0.6108*(2.718282^(17.27*(C29)/(C29+237.3))))</f>
        <v>3.8353030461467781</v>
      </c>
      <c r="D100" s="208">
        <f>(0.6108*(2.718282^(17.27*(D29)/(D29+237.3))))</f>
        <v>3.3022866782784837</v>
      </c>
      <c r="E100" s="208">
        <f>(0.6108*(2.718282^(17.27*(E29)/(E29+237.3))))</f>
        <v>2.8436031789313314</v>
      </c>
      <c r="F100" s="208">
        <f t="shared" ref="F100:L100" si="34">(0.6108*(2.718282^(17.27*(F29)/(F29+237.3))))</f>
        <v>2.5254535953736368</v>
      </c>
      <c r="G100" s="208">
        <f t="shared" si="34"/>
        <v>2.4265525233436196</v>
      </c>
      <c r="H100" s="208">
        <f t="shared" si="34"/>
        <v>2.1905484273682014</v>
      </c>
      <c r="I100" s="208">
        <f t="shared" si="34"/>
        <v>2.595970231262307</v>
      </c>
      <c r="J100" s="208">
        <f t="shared" si="34"/>
        <v>3.3022866782784837</v>
      </c>
      <c r="K100" s="208">
        <f t="shared" si="34"/>
        <v>3.9367539658678359</v>
      </c>
      <c r="L100" s="208">
        <f t="shared" si="34"/>
        <v>3.8576488394009529</v>
      </c>
      <c r="M100" s="209">
        <f>(0.6108*(2.718282^(17.27*(M29)/(M29+237.3))))</f>
        <v>4.4670792251732703</v>
      </c>
      <c r="N100" s="67"/>
    </row>
    <row r="101" spans="1:14" ht="13.5" hidden="1" x14ac:dyDescent="0.25">
      <c r="A101" s="203" t="s">
        <v>45</v>
      </c>
      <c r="B101" s="208">
        <f>(0.6108*(2.718282^(17.27*(B30)/(B30+237.3))))</f>
        <v>2.0966575724827532</v>
      </c>
      <c r="C101" s="208">
        <f>(0.6108*(2.718282^(17.27*(C30)/(C30+237.3))))</f>
        <v>2.1566021517626273</v>
      </c>
      <c r="D101" s="208">
        <f>(0.6108*(2.718282^(17.27*(D30)/(D30+237.3))))</f>
        <v>1.9562260234542206</v>
      </c>
      <c r="E101" s="208">
        <f t="shared" ref="E101:M101" si="35">(0.6108*(2.718282^(17.27*(E30)/(E30+237.3))))</f>
        <v>1.6565632906173642</v>
      </c>
      <c r="F101" s="208">
        <f t="shared" si="35"/>
        <v>1.3614843336485032</v>
      </c>
      <c r="G101" s="208">
        <f t="shared" si="35"/>
        <v>1.1174036513621404</v>
      </c>
      <c r="H101" s="208">
        <f t="shared" si="35"/>
        <v>0.90637352530058235</v>
      </c>
      <c r="I101" s="208">
        <f t="shared" si="35"/>
        <v>1.0837778133195155</v>
      </c>
      <c r="J101" s="208">
        <f t="shared" si="35"/>
        <v>1.4352634424787354</v>
      </c>
      <c r="K101" s="208">
        <f t="shared" si="35"/>
        <v>1.7441550880524352</v>
      </c>
      <c r="L101" s="208">
        <f t="shared" si="35"/>
        <v>1.9133058323743237</v>
      </c>
      <c r="M101" s="209">
        <f t="shared" si="35"/>
        <v>2.0704871203127984</v>
      </c>
      <c r="N101" s="67"/>
    </row>
    <row r="102" spans="1:14" ht="13.5" hidden="1" x14ac:dyDescent="0.25">
      <c r="A102" s="203" t="s">
        <v>46</v>
      </c>
      <c r="B102" s="208">
        <f t="shared" ref="B102:M102" si="36">((B32)/100)*((B100+B101)/2)</f>
        <v>1.9666520129973248</v>
      </c>
      <c r="C102" s="208">
        <f t="shared" si="36"/>
        <v>2.0372477672891978</v>
      </c>
      <c r="D102" s="208">
        <f t="shared" si="36"/>
        <v>1.9193571361324371</v>
      </c>
      <c r="E102" s="208">
        <f t="shared" si="36"/>
        <v>1.6875624260807607</v>
      </c>
      <c r="F102" s="208">
        <f t="shared" si="36"/>
        <v>1.5353404819637453</v>
      </c>
      <c r="G102" s="208">
        <f t="shared" si="36"/>
        <v>1.3821429081352463</v>
      </c>
      <c r="H102" s="208">
        <f t="shared" si="36"/>
        <v>1.2077995615408257</v>
      </c>
      <c r="I102" s="208">
        <f t="shared" si="36"/>
        <v>1.2695130753807287</v>
      </c>
      <c r="J102" s="208">
        <f t="shared" si="36"/>
        <v>1.492328288038524</v>
      </c>
      <c r="K102" s="208">
        <f t="shared" si="36"/>
        <v>1.9315090783328921</v>
      </c>
      <c r="L102" s="208">
        <f t="shared" si="36"/>
        <v>1.7889959482503359</v>
      </c>
      <c r="M102" s="209">
        <f t="shared" si="36"/>
        <v>1.8958942401909595</v>
      </c>
      <c r="N102" s="67"/>
    </row>
    <row r="103" spans="1:14" ht="13.5" hidden="1" x14ac:dyDescent="0.25">
      <c r="A103" s="203" t="s">
        <v>47</v>
      </c>
      <c r="B103" s="208">
        <f>((B101+B100)/2)-B102</f>
        <v>1.1550178489031908</v>
      </c>
      <c r="C103" s="208">
        <f t="shared" ref="C103:M103" si="37">((C101+C100)/2)-C102</f>
        <v>0.95870483166550491</v>
      </c>
      <c r="D103" s="208">
        <f t="shared" si="37"/>
        <v>0.70989921473391515</v>
      </c>
      <c r="E103" s="208">
        <f t="shared" si="37"/>
        <v>0.56252080869358689</v>
      </c>
      <c r="F103" s="208">
        <f t="shared" si="37"/>
        <v>0.40812848254732459</v>
      </c>
      <c r="G103" s="208">
        <f t="shared" si="37"/>
        <v>0.38983517921763355</v>
      </c>
      <c r="H103" s="208">
        <f t="shared" si="37"/>
        <v>0.34066141479356626</v>
      </c>
      <c r="I103" s="208">
        <f t="shared" si="37"/>
        <v>0.57036094691018269</v>
      </c>
      <c r="J103" s="208">
        <f t="shared" si="37"/>
        <v>0.8764467723400855</v>
      </c>
      <c r="K103" s="208">
        <f t="shared" si="37"/>
        <v>0.90894544862724325</v>
      </c>
      <c r="L103" s="208">
        <f t="shared" si="37"/>
        <v>1.0964813876373025</v>
      </c>
      <c r="M103" s="209">
        <f t="shared" si="37"/>
        <v>1.3728889325520746</v>
      </c>
      <c r="N103" s="67"/>
    </row>
    <row r="104" spans="1:14" ht="13.5" hidden="1" x14ac:dyDescent="0.25">
      <c r="A104" s="203" t="s">
        <v>48</v>
      </c>
      <c r="B104" s="204">
        <f>0.34+(-0.14*(B102^0.5))</f>
        <v>0.14366768107428782</v>
      </c>
      <c r="C104" s="204">
        <f t="shared" ref="C104:M104" si="38">0.34+(-0.14*(C102^0.5))</f>
        <v>0.1401749359092602</v>
      </c>
      <c r="D104" s="204">
        <f t="shared" si="38"/>
        <v>0.14604278856357064</v>
      </c>
      <c r="E104" s="204">
        <f t="shared" si="38"/>
        <v>0.15813130134302136</v>
      </c>
      <c r="F104" s="204">
        <f t="shared" si="38"/>
        <v>0.16652760033224476</v>
      </c>
      <c r="G104" s="204">
        <f t="shared" si="38"/>
        <v>0.17540959627168168</v>
      </c>
      <c r="H104" s="204">
        <f t="shared" si="38"/>
        <v>0.18614009162163075</v>
      </c>
      <c r="I104" s="204">
        <f t="shared" si="38"/>
        <v>0.18225826082655777</v>
      </c>
      <c r="J104" s="204">
        <f t="shared" si="38"/>
        <v>0.16897475494665978</v>
      </c>
      <c r="K104" s="204">
        <f t="shared" si="38"/>
        <v>0.14542976092083176</v>
      </c>
      <c r="L104" s="204">
        <f t="shared" si="38"/>
        <v>0.15274530557097751</v>
      </c>
      <c r="M104" s="205">
        <f t="shared" si="38"/>
        <v>0.14723193441925395</v>
      </c>
      <c r="N104" s="67"/>
    </row>
    <row r="105" spans="1:14" ht="13.5" hidden="1" x14ac:dyDescent="0.25">
      <c r="A105" s="203" t="s">
        <v>49</v>
      </c>
      <c r="B105" s="208">
        <f>$E$38/100</f>
        <v>0.21</v>
      </c>
      <c r="C105" s="208">
        <f t="shared" ref="C105:M105" si="39">$E$38/100</f>
        <v>0.21</v>
      </c>
      <c r="D105" s="208">
        <f t="shared" si="39"/>
        <v>0.21</v>
      </c>
      <c r="E105" s="208">
        <f t="shared" si="39"/>
        <v>0.21</v>
      </c>
      <c r="F105" s="208">
        <f t="shared" si="39"/>
        <v>0.21</v>
      </c>
      <c r="G105" s="208">
        <f t="shared" si="39"/>
        <v>0.21</v>
      </c>
      <c r="H105" s="208">
        <f>$E$38/100</f>
        <v>0.21</v>
      </c>
      <c r="I105" s="208">
        <f t="shared" si="39"/>
        <v>0.21</v>
      </c>
      <c r="J105" s="208">
        <f t="shared" si="39"/>
        <v>0.21</v>
      </c>
      <c r="K105" s="208">
        <f t="shared" si="39"/>
        <v>0.21</v>
      </c>
      <c r="L105" s="208">
        <f t="shared" si="39"/>
        <v>0.21</v>
      </c>
      <c r="M105" s="209">
        <f t="shared" si="39"/>
        <v>0.21</v>
      </c>
      <c r="N105" s="67"/>
    </row>
    <row r="106" spans="1:14" ht="13.5" hidden="1" x14ac:dyDescent="0.25">
      <c r="A106" s="201" t="s">
        <v>50</v>
      </c>
      <c r="B106" s="204">
        <f t="shared" ref="B106:M106" si="40">(1-B105)*B97</f>
        <v>18.025138853764119</v>
      </c>
      <c r="C106" s="204">
        <f t="shared" si="40"/>
        <v>18.41149430367706</v>
      </c>
      <c r="D106" s="204">
        <f t="shared" si="40"/>
        <v>14.579632322072008</v>
      </c>
      <c r="E106" s="204">
        <f t="shared" si="40"/>
        <v>12.30663348072982</v>
      </c>
      <c r="F106" s="204">
        <f t="shared" si="40"/>
        <v>8.3885887509672337</v>
      </c>
      <c r="G106" s="204">
        <f t="shared" si="40"/>
        <v>7.297319917296603</v>
      </c>
      <c r="H106" s="204">
        <f t="shared" si="40"/>
        <v>7.8117049814314123</v>
      </c>
      <c r="I106" s="204">
        <f t="shared" si="40"/>
        <v>10.482676260145293</v>
      </c>
      <c r="J106" s="204">
        <f t="shared" si="40"/>
        <v>12.039514033251361</v>
      </c>
      <c r="K106" s="204">
        <f t="shared" si="40"/>
        <v>14.931741113663612</v>
      </c>
      <c r="L106" s="204">
        <f t="shared" si="40"/>
        <v>16.269774296811381</v>
      </c>
      <c r="M106" s="205">
        <f t="shared" si="40"/>
        <v>16.186973193505793</v>
      </c>
      <c r="N106" s="67"/>
    </row>
    <row r="107" spans="1:14" ht="13.5" hidden="1" x14ac:dyDescent="0.25">
      <c r="A107" s="201" t="s">
        <v>51</v>
      </c>
      <c r="B107" s="208">
        <f t="shared" ref="B107:M107" si="41">(4.903*10^-9)*(((B29+273.15)^4+(B30+273.15)^4 )/2)*B104*(B99)</f>
        <v>3.2011905154915743</v>
      </c>
      <c r="C107" s="208">
        <f t="shared" si="41"/>
        <v>3.5447026748137542</v>
      </c>
      <c r="D107" s="208">
        <f t="shared" si="41"/>
        <v>2.9836827567381503</v>
      </c>
      <c r="E107" s="208">
        <f t="shared" si="41"/>
        <v>3.202088540288436</v>
      </c>
      <c r="F107" s="208">
        <f t="shared" si="41"/>
        <v>2.3476566703810042</v>
      </c>
      <c r="G107" s="208">
        <f t="shared" si="41"/>
        <v>2.3259689523397364</v>
      </c>
      <c r="H107" s="208">
        <f t="shared" si="41"/>
        <v>2.5194047062082277</v>
      </c>
      <c r="I107" s="208">
        <f t="shared" si="41"/>
        <v>3.1962802838709372</v>
      </c>
      <c r="J107" s="208">
        <f t="shared" si="41"/>
        <v>2.8492214819728536</v>
      </c>
      <c r="K107" s="208">
        <f t="shared" si="41"/>
        <v>2.853366172657803</v>
      </c>
      <c r="L107" s="208">
        <f t="shared" si="41"/>
        <v>2.9682364976655351</v>
      </c>
      <c r="M107" s="209">
        <f t="shared" si="41"/>
        <v>2.7272639450059422</v>
      </c>
      <c r="N107" s="67"/>
    </row>
    <row r="108" spans="1:14" ht="13.5" hidden="1" x14ac:dyDescent="0.25">
      <c r="A108" s="200" t="s">
        <v>52</v>
      </c>
      <c r="B108" s="13">
        <f>0.07*(B110-B109)</f>
        <v>-7.8900708389439064E-2</v>
      </c>
      <c r="C108" s="13">
        <f>0.07*(C110-C109)</f>
        <v>-0.13666044142614564</v>
      </c>
      <c r="D108" s="13">
        <f>0.07*(D110-D109)</f>
        <v>-0.26658375680580687</v>
      </c>
      <c r="E108" s="13">
        <f t="shared" ref="E108:K108" si="42">0.07*(E110-E109)</f>
        <v>-0.40901273344651973</v>
      </c>
      <c r="F108" s="13">
        <f t="shared" si="42"/>
        <v>-0.38401754385964942</v>
      </c>
      <c r="G108" s="13">
        <f t="shared" si="42"/>
        <v>-0.18703409734012447</v>
      </c>
      <c r="H108" s="13">
        <f t="shared" si="42"/>
        <v>0.16720234861346908</v>
      </c>
      <c r="I108" s="13">
        <f t="shared" si="42"/>
        <v>0.36906143180531958</v>
      </c>
      <c r="J108" s="13">
        <f t="shared" si="42"/>
        <v>0.42471994906621385</v>
      </c>
      <c r="K108" s="13">
        <f t="shared" si="42"/>
        <v>0.30531131861912864</v>
      </c>
      <c r="L108" s="13">
        <f>0.07*(L110-L109)</f>
        <v>0.13757971137521241</v>
      </c>
      <c r="M108" s="17">
        <f>0.07*(M110-M109)</f>
        <v>5.8334521788341649E-2</v>
      </c>
      <c r="N108" s="67"/>
    </row>
    <row r="109" spans="1:14" ht="13.5" hidden="1" x14ac:dyDescent="0.25">
      <c r="A109" s="200" t="s">
        <v>53</v>
      </c>
      <c r="B109" s="13">
        <f>M28</f>
        <v>23.39049235993209</v>
      </c>
      <c r="C109" s="13">
        <f t="shared" ref="C109:M109" si="43">B28</f>
        <v>23.207045840407467</v>
      </c>
      <c r="D109" s="13">
        <f t="shared" si="43"/>
        <v>22.263339382940103</v>
      </c>
      <c r="E109" s="13">
        <f t="shared" si="43"/>
        <v>21.254753820033958</v>
      </c>
      <c r="F109" s="13">
        <f t="shared" si="43"/>
        <v>18.455000000000005</v>
      </c>
      <c r="G109" s="13">
        <f t="shared" si="43"/>
        <v>15.411714770797962</v>
      </c>
      <c r="H109" s="13">
        <f t="shared" si="43"/>
        <v>12.9690350877193</v>
      </c>
      <c r="I109" s="13">
        <f t="shared" si="43"/>
        <v>12.73979909451047</v>
      </c>
      <c r="J109" s="13">
        <f t="shared" si="43"/>
        <v>15.357640067911715</v>
      </c>
      <c r="K109" s="13">
        <f t="shared" si="43"/>
        <v>18.012105263157892</v>
      </c>
      <c r="L109" s="13">
        <f t="shared" si="43"/>
        <v>21.42506791171477</v>
      </c>
      <c r="M109" s="17">
        <f t="shared" si="43"/>
        <v>22.373695529145444</v>
      </c>
      <c r="N109" s="67"/>
    </row>
    <row r="110" spans="1:14" ht="13.5" hidden="1" x14ac:dyDescent="0.25">
      <c r="A110" s="200" t="s">
        <v>54</v>
      </c>
      <c r="B110" s="13">
        <f t="shared" ref="B110:L110" si="44">C28</f>
        <v>22.263339382940103</v>
      </c>
      <c r="C110" s="13">
        <f t="shared" si="44"/>
        <v>21.254753820033958</v>
      </c>
      <c r="D110" s="13">
        <f t="shared" si="44"/>
        <v>18.455000000000005</v>
      </c>
      <c r="E110" s="13">
        <f t="shared" si="44"/>
        <v>15.411714770797962</v>
      </c>
      <c r="F110" s="13">
        <f t="shared" si="44"/>
        <v>12.9690350877193</v>
      </c>
      <c r="G110" s="13">
        <f t="shared" si="44"/>
        <v>12.73979909451047</v>
      </c>
      <c r="H110" s="13">
        <f t="shared" si="44"/>
        <v>15.357640067911715</v>
      </c>
      <c r="I110" s="13">
        <f t="shared" si="44"/>
        <v>18.012105263157892</v>
      </c>
      <c r="J110" s="13">
        <f t="shared" si="44"/>
        <v>21.42506791171477</v>
      </c>
      <c r="K110" s="13">
        <f t="shared" si="44"/>
        <v>22.373695529145444</v>
      </c>
      <c r="L110" s="13">
        <f t="shared" si="44"/>
        <v>23.39049235993209</v>
      </c>
      <c r="M110" s="17">
        <f>B28</f>
        <v>23.207045840407467</v>
      </c>
      <c r="N110" s="67"/>
    </row>
    <row r="111" spans="1:14" ht="13.5" hidden="1" x14ac:dyDescent="0.25">
      <c r="A111" s="201" t="s">
        <v>55</v>
      </c>
      <c r="B111" s="13">
        <v>31</v>
      </c>
      <c r="C111" s="13">
        <v>28.2</v>
      </c>
      <c r="D111" s="13">
        <v>31</v>
      </c>
      <c r="E111" s="13">
        <v>30</v>
      </c>
      <c r="F111" s="13">
        <v>31</v>
      </c>
      <c r="G111" s="13">
        <v>30</v>
      </c>
      <c r="H111" s="13">
        <v>31</v>
      </c>
      <c r="I111" s="13">
        <v>31</v>
      </c>
      <c r="J111" s="13">
        <v>30</v>
      </c>
      <c r="K111" s="13">
        <v>31</v>
      </c>
      <c r="L111" s="13">
        <v>30</v>
      </c>
      <c r="M111" s="17">
        <v>31</v>
      </c>
      <c r="N111" s="67"/>
    </row>
    <row r="112" spans="1:14" hidden="1" x14ac:dyDescent="0.2">
      <c r="A112" s="210" t="s">
        <v>60</v>
      </c>
      <c r="B112" s="14">
        <f>2.501-(B28*0.002361)</f>
        <v>2.4462081647707978</v>
      </c>
      <c r="C112" s="14">
        <f t="shared" ref="C112:L112" si="45">2.501-(C28*0.002361)</f>
        <v>2.4484362557168784</v>
      </c>
      <c r="D112" s="14">
        <f t="shared" si="45"/>
        <v>2.4508175262308995</v>
      </c>
      <c r="E112" s="14">
        <f>2.501-(E28*0.002361)</f>
        <v>2.4574277449999999</v>
      </c>
      <c r="F112" s="14">
        <f t="shared" si="45"/>
        <v>2.4646129414261457</v>
      </c>
      <c r="G112" s="14">
        <f t="shared" si="45"/>
        <v>2.4703801081578947</v>
      </c>
      <c r="H112" s="14">
        <f>2.501-(H28*0.002361)</f>
        <v>2.4709213343378607</v>
      </c>
      <c r="I112" s="14">
        <f t="shared" si="45"/>
        <v>2.4647406117996602</v>
      </c>
      <c r="J112" s="14">
        <f t="shared" si="45"/>
        <v>2.4584734194736839</v>
      </c>
      <c r="K112" s="14">
        <f>2.501-(K28*0.002361)</f>
        <v>2.4504154146604411</v>
      </c>
      <c r="L112" s="14">
        <f t="shared" si="45"/>
        <v>2.4481757048556876</v>
      </c>
      <c r="M112" s="18">
        <f>2.501-(M28*0.002361)</f>
        <v>2.4457750475382003</v>
      </c>
      <c r="N112" s="67"/>
    </row>
    <row r="113" spans="1:18" hidden="1" x14ac:dyDescent="0.2">
      <c r="A113" s="210" t="s">
        <v>61</v>
      </c>
      <c r="B113" s="14">
        <f t="shared" ref="B113:M113" si="46">((4098/(B28+237.3)^2)*(0.6108*(2.718282)^(17.27*B28/(B28+237.3))))</f>
        <v>0.17178561253222624</v>
      </c>
      <c r="C113" s="14">
        <f t="shared" si="46"/>
        <v>0.16341774222684555</v>
      </c>
      <c r="D113" s="14">
        <f t="shared" si="46"/>
        <v>0.15485771953165806</v>
      </c>
      <c r="E113" s="14">
        <f t="shared" si="46"/>
        <v>0.13305576281548384</v>
      </c>
      <c r="F113" s="14">
        <f t="shared" si="46"/>
        <v>0.11236386313524045</v>
      </c>
      <c r="G113" s="14">
        <f t="shared" si="46"/>
        <v>9.7796507381035472E-2</v>
      </c>
      <c r="H113" s="14">
        <f t="shared" si="46"/>
        <v>9.6516019048405149E-2</v>
      </c>
      <c r="I113" s="14">
        <f t="shared" si="46"/>
        <v>0.11202248499797271</v>
      </c>
      <c r="J113" s="14">
        <f t="shared" si="46"/>
        <v>0.12985752965106856</v>
      </c>
      <c r="K113" s="14">
        <f t="shared" si="46"/>
        <v>0.1562760087264817</v>
      </c>
      <c r="L113" s="14">
        <f t="shared" si="46"/>
        <v>0.1643781400972926</v>
      </c>
      <c r="M113" s="18">
        <f t="shared" si="46"/>
        <v>0.17345350168415907</v>
      </c>
      <c r="N113" s="67"/>
    </row>
    <row r="114" spans="1:18" hidden="1" x14ac:dyDescent="0.2">
      <c r="A114" s="210" t="s">
        <v>62</v>
      </c>
      <c r="B114" s="14">
        <f t="shared" ref="B114:M114" si="47">0.0016286*(B89)/B112</f>
        <v>6.6137104082128986E-2</v>
      </c>
      <c r="C114" s="14">
        <f t="shared" si="47"/>
        <v>6.6176692826564659E-2</v>
      </c>
      <c r="D114" s="14">
        <f t="shared" si="47"/>
        <v>6.6225361236750269E-2</v>
      </c>
      <c r="E114" s="14">
        <f t="shared" si="47"/>
        <v>6.6173139914638676E-2</v>
      </c>
      <c r="F114" s="14">
        <f t="shared" si="47"/>
        <v>6.6013262068588943E-2</v>
      </c>
      <c r="G114" s="14">
        <f t="shared" si="47"/>
        <v>6.5905299942446705E-2</v>
      </c>
      <c r="H114" s="14">
        <f t="shared" si="47"/>
        <v>6.5864499908740104E-2</v>
      </c>
      <c r="I114" s="14">
        <f t="shared" si="47"/>
        <v>6.6128779320510603E-2</v>
      </c>
      <c r="J114" s="14">
        <f t="shared" si="47"/>
        <v>6.6270858456089959E-2</v>
      </c>
      <c r="K114" s="14">
        <f t="shared" si="47"/>
        <v>6.6342568295721896E-2</v>
      </c>
      <c r="L114" s="14">
        <f t="shared" si="47"/>
        <v>6.6230301884953088E-2</v>
      </c>
      <c r="M114" s="18">
        <f t="shared" si="47"/>
        <v>6.617545148435082E-2</v>
      </c>
      <c r="N114" s="67"/>
    </row>
    <row r="115" spans="1:18" hidden="1" x14ac:dyDescent="0.2">
      <c r="A115" s="210" t="s">
        <v>63</v>
      </c>
      <c r="B115" s="14">
        <f t="shared" ref="B115:M115" si="48">(B114)*(1+(0.34*(B91)))</f>
        <v>0.16327928255796004</v>
      </c>
      <c r="C115" s="14">
        <f t="shared" si="48"/>
        <v>0.15527699204825132</v>
      </c>
      <c r="D115" s="14">
        <f t="shared" si="48"/>
        <v>0.14728520339053261</v>
      </c>
      <c r="E115" s="14">
        <f t="shared" si="48"/>
        <v>0.13906947084460464</v>
      </c>
      <c r="F115" s="14">
        <f t="shared" si="48"/>
        <v>0.13065344828615125</v>
      </c>
      <c r="G115" s="14">
        <f t="shared" si="48"/>
        <v>0.14657338707200149</v>
      </c>
      <c r="H115" s="14">
        <f t="shared" si="48"/>
        <v>0.14648264779703801</v>
      </c>
      <c r="I115" s="14">
        <f t="shared" si="48"/>
        <v>0.16325873038647656</v>
      </c>
      <c r="J115" s="14">
        <f t="shared" si="48"/>
        <v>0.17172104843142028</v>
      </c>
      <c r="K115" s="14">
        <f t="shared" si="48"/>
        <v>0.17190686296787455</v>
      </c>
      <c r="L115" s="14">
        <f t="shared" si="48"/>
        <v>0.17972254719500874</v>
      </c>
      <c r="M115" s="18">
        <f t="shared" si="48"/>
        <v>0.17147382988624982</v>
      </c>
      <c r="N115" s="67"/>
    </row>
    <row r="116" spans="1:18" hidden="1" x14ac:dyDescent="0.2">
      <c r="A116" s="210" t="s">
        <v>64</v>
      </c>
      <c r="B116" s="14">
        <f t="shared" ref="B116:M116" si="49">B113/(B113+B115)</f>
        <v>0.5126935559333613</v>
      </c>
      <c r="C116" s="14">
        <f t="shared" si="49"/>
        <v>0.51277201864836452</v>
      </c>
      <c r="D116" s="14">
        <f t="shared" si="49"/>
        <v>0.51253134785995891</v>
      </c>
      <c r="E116" s="14">
        <f t="shared" si="49"/>
        <v>0.48895047705015021</v>
      </c>
      <c r="F116" s="14">
        <f t="shared" si="49"/>
        <v>0.46236978953487662</v>
      </c>
      <c r="G116" s="14">
        <f t="shared" si="49"/>
        <v>0.40019867258988406</v>
      </c>
      <c r="H116" s="14">
        <f t="shared" si="49"/>
        <v>0.39718744263643713</v>
      </c>
      <c r="I116" s="14">
        <f t="shared" si="49"/>
        <v>0.4069383551708225</v>
      </c>
      <c r="J116" s="14">
        <f t="shared" si="49"/>
        <v>0.4305926849205764</v>
      </c>
      <c r="K116" s="14">
        <f t="shared" si="49"/>
        <v>0.47618575558088516</v>
      </c>
      <c r="L116" s="14">
        <f t="shared" si="49"/>
        <v>0.47770360876280138</v>
      </c>
      <c r="M116" s="18">
        <f t="shared" si="49"/>
        <v>0.50286969401481763</v>
      </c>
      <c r="N116" s="67"/>
      <c r="O116" s="211"/>
      <c r="P116" s="211"/>
      <c r="Q116" s="211"/>
      <c r="R116" s="211"/>
    </row>
    <row r="117" spans="1:18" hidden="1" x14ac:dyDescent="0.2">
      <c r="A117" s="210" t="s">
        <v>65</v>
      </c>
      <c r="B117" s="14">
        <f t="shared" ref="B117:M117" si="50">B114/(B113+B115)</f>
        <v>0.1973859543367785</v>
      </c>
      <c r="C117" s="14">
        <f t="shared" si="50"/>
        <v>0.20764915673015491</v>
      </c>
      <c r="D117" s="14">
        <f t="shared" si="50"/>
        <v>0.21918554502699686</v>
      </c>
      <c r="E117" s="14">
        <f t="shared" si="50"/>
        <v>0.24317164205836025</v>
      </c>
      <c r="F117" s="14">
        <f t="shared" si="50"/>
        <v>0.27164016292700249</v>
      </c>
      <c r="G117" s="14">
        <f t="shared" si="50"/>
        <v>0.26969484146138301</v>
      </c>
      <c r="H117" s="14">
        <f t="shared" si="50"/>
        <v>0.27104881176419193</v>
      </c>
      <c r="I117" s="14">
        <f t="shared" si="50"/>
        <v>0.24022263643437197</v>
      </c>
      <c r="J117" s="14">
        <f t="shared" si="50"/>
        <v>0.2197465711174065</v>
      </c>
      <c r="K117" s="14">
        <f t="shared" si="50"/>
        <v>0.20215122121762696</v>
      </c>
      <c r="L117" s="14">
        <f t="shared" si="50"/>
        <v>0.19247361115757605</v>
      </c>
      <c r="M117" s="18">
        <f t="shared" si="50"/>
        <v>0.19185331351697377</v>
      </c>
      <c r="N117" s="67"/>
      <c r="O117" s="211"/>
      <c r="P117" s="211"/>
      <c r="Q117" s="211"/>
      <c r="R117" s="211"/>
    </row>
    <row r="118" spans="1:18" hidden="1" x14ac:dyDescent="0.2">
      <c r="A118" s="210" t="s">
        <v>66</v>
      </c>
      <c r="B118" s="14">
        <f>(B106-B107)</f>
        <v>14.823948338272544</v>
      </c>
      <c r="C118" s="14">
        <f t="shared" ref="C118:M118" si="51">(C106-C107)</f>
        <v>14.866791628863306</v>
      </c>
      <c r="D118" s="14">
        <f t="shared" si="51"/>
        <v>11.595949565333857</v>
      </c>
      <c r="E118" s="14">
        <f t="shared" si="51"/>
        <v>9.1045449404413841</v>
      </c>
      <c r="F118" s="14">
        <f t="shared" si="51"/>
        <v>6.040932080586229</v>
      </c>
      <c r="G118" s="14">
        <f t="shared" si="51"/>
        <v>4.9713509649568666</v>
      </c>
      <c r="H118" s="14">
        <f t="shared" si="51"/>
        <v>5.2923002752231847</v>
      </c>
      <c r="I118" s="14">
        <f t="shared" si="51"/>
        <v>7.2863959762743562</v>
      </c>
      <c r="J118" s="14">
        <f t="shared" si="51"/>
        <v>9.1902925512785067</v>
      </c>
      <c r="K118" s="14">
        <f t="shared" si="51"/>
        <v>12.078374941005809</v>
      </c>
      <c r="L118" s="14">
        <f t="shared" si="51"/>
        <v>13.301537799145846</v>
      </c>
      <c r="M118" s="18">
        <f t="shared" si="51"/>
        <v>13.45970924849985</v>
      </c>
      <c r="N118" s="67"/>
      <c r="O118" s="211"/>
      <c r="P118" s="211"/>
      <c r="Q118" s="211"/>
      <c r="R118" s="211"/>
    </row>
    <row r="119" spans="1:18" hidden="1" x14ac:dyDescent="0.2">
      <c r="A119" s="210" t="s">
        <v>67</v>
      </c>
      <c r="B119" s="14">
        <f t="shared" ref="B119:M119" si="52">(B118-B108)</f>
        <v>14.902849046661983</v>
      </c>
      <c r="C119" s="14">
        <f t="shared" si="52"/>
        <v>15.003452070289452</v>
      </c>
      <c r="D119" s="14">
        <f t="shared" si="52"/>
        <v>11.862533322139663</v>
      </c>
      <c r="E119" s="14">
        <f t="shared" si="52"/>
        <v>9.5135576738879042</v>
      </c>
      <c r="F119" s="14">
        <f t="shared" si="52"/>
        <v>6.4249496244458788</v>
      </c>
      <c r="G119" s="14">
        <f t="shared" si="52"/>
        <v>5.1583850622969907</v>
      </c>
      <c r="H119" s="14">
        <f t="shared" si="52"/>
        <v>5.1250979266097154</v>
      </c>
      <c r="I119" s="14">
        <f t="shared" si="52"/>
        <v>6.9173345444690364</v>
      </c>
      <c r="J119" s="14">
        <f t="shared" si="52"/>
        <v>8.7655726022122931</v>
      </c>
      <c r="K119" s="14">
        <f t="shared" si="52"/>
        <v>11.77306362238668</v>
      </c>
      <c r="L119" s="14">
        <f t="shared" si="52"/>
        <v>13.163958087770634</v>
      </c>
      <c r="M119" s="18">
        <f t="shared" si="52"/>
        <v>13.401374726711509</v>
      </c>
      <c r="N119" s="67"/>
      <c r="O119" s="212"/>
      <c r="P119" s="212"/>
      <c r="Q119" s="211"/>
      <c r="R119" s="211"/>
    </row>
    <row r="120" spans="1:18" hidden="1" x14ac:dyDescent="0.2">
      <c r="A120" s="210" t="s">
        <v>68</v>
      </c>
      <c r="B120" s="14">
        <f t="shared" ref="B120:M120" si="53">(900*B93)/(B28+273.2)</f>
        <v>9.8080379864606844</v>
      </c>
      <c r="C120" s="14">
        <f t="shared" si="53"/>
        <v>9.0194176832046971</v>
      </c>
      <c r="D120" s="14">
        <f t="shared" si="53"/>
        <v>8.2275559808478143</v>
      </c>
      <c r="E120" s="14">
        <f t="shared" si="53"/>
        <v>7.4758830597554731</v>
      </c>
      <c r="F120" s="14">
        <f t="shared" si="53"/>
        <v>6.7153004452505805</v>
      </c>
      <c r="G120" s="14">
        <f t="shared" si="53"/>
        <v>8.4657760758024683</v>
      </c>
      <c r="H120" s="14">
        <f t="shared" si="53"/>
        <v>8.472563030934861</v>
      </c>
      <c r="I120" s="14">
        <f t="shared" si="53"/>
        <v>10.07483830396281</v>
      </c>
      <c r="J120" s="14">
        <f t="shared" si="53"/>
        <v>10.814920826520543</v>
      </c>
      <c r="K120" s="14">
        <f t="shared" si="53"/>
        <v>10.689639834344158</v>
      </c>
      <c r="L120" s="14">
        <f t="shared" si="53"/>
        <v>11.474972944265552</v>
      </c>
      <c r="M120" s="18">
        <f t="shared" si="53"/>
        <v>10.618802501340372</v>
      </c>
      <c r="N120" s="213"/>
      <c r="O120" s="214"/>
      <c r="P120" s="214"/>
      <c r="Q120" s="214"/>
      <c r="R120" s="211"/>
    </row>
    <row r="121" spans="1:18" hidden="1" x14ac:dyDescent="0.2">
      <c r="A121" s="210" t="s">
        <v>69</v>
      </c>
      <c r="B121" s="14">
        <f t="shared" ref="B121:M121" si="54">B113/(B113+B115)*(1/B112)*(B119)</f>
        <v>3.1234441865200524</v>
      </c>
      <c r="C121" s="14">
        <f t="shared" si="54"/>
        <v>3.142148539425123</v>
      </c>
      <c r="D121" s="14">
        <f t="shared" si="54"/>
        <v>2.4807722841692739</v>
      </c>
      <c r="E121" s="14">
        <f t="shared" si="54"/>
        <v>1.8928973893763898</v>
      </c>
      <c r="F121" s="14">
        <f t="shared" si="54"/>
        <v>1.2053424518286557</v>
      </c>
      <c r="G121" s="14">
        <f t="shared" si="54"/>
        <v>0.83565231432263343</v>
      </c>
      <c r="H121" s="14">
        <f t="shared" si="54"/>
        <v>0.82383219183985512</v>
      </c>
      <c r="I121" s="14">
        <f t="shared" si="54"/>
        <v>1.1420791008256184</v>
      </c>
      <c r="J121" s="14">
        <f t="shared" si="54"/>
        <v>1.5352581857325374</v>
      </c>
      <c r="K121" s="14">
        <f t="shared" si="54"/>
        <v>2.2878427726936623</v>
      </c>
      <c r="L121" s="14">
        <f t="shared" si="54"/>
        <v>2.5686351970807522</v>
      </c>
      <c r="M121" s="18">
        <f t="shared" si="54"/>
        <v>2.7554231592078047</v>
      </c>
      <c r="N121" s="215"/>
      <c r="O121" s="216"/>
      <c r="P121" s="216"/>
      <c r="Q121" s="211"/>
      <c r="R121" s="211"/>
    </row>
    <row r="122" spans="1:18" hidden="1" x14ac:dyDescent="0.2">
      <c r="A122" s="210" t="s">
        <v>70</v>
      </c>
      <c r="B122" s="14">
        <f t="shared" ref="B122:M122" si="55">B114/(B113+B115)*B120*B103</f>
        <v>2.2360786784610567</v>
      </c>
      <c r="C122" s="14">
        <f t="shared" si="55"/>
        <v>1.7955338093539752</v>
      </c>
      <c r="D122" s="14">
        <f t="shared" si="55"/>
        <v>1.280204800497911</v>
      </c>
      <c r="E122" s="14">
        <f t="shared" si="55"/>
        <v>1.0226193808034887</v>
      </c>
      <c r="F122" s="14">
        <f t="shared" si="55"/>
        <v>0.74448565611280937</v>
      </c>
      <c r="G122" s="14">
        <f t="shared" si="55"/>
        <v>0.89006237840121849</v>
      </c>
      <c r="H122" s="14">
        <f t="shared" si="55"/>
        <v>0.78232149294122666</v>
      </c>
      <c r="I122" s="14">
        <f t="shared" si="55"/>
        <v>1.3803899700807967</v>
      </c>
      <c r="J122" s="14">
        <f t="shared" si="55"/>
        <v>2.0829123623631256</v>
      </c>
      <c r="K122" s="14">
        <f t="shared" si="55"/>
        <v>1.9641618045655249</v>
      </c>
      <c r="L122" s="14">
        <f t="shared" si="55"/>
        <v>2.421721117575331</v>
      </c>
      <c r="M122" s="18">
        <f t="shared" si="55"/>
        <v>2.7969213351928328</v>
      </c>
      <c r="N122" s="215"/>
      <c r="O122" s="212"/>
      <c r="P122" s="212"/>
      <c r="Q122" s="211"/>
      <c r="R122" s="211"/>
    </row>
    <row r="123" spans="1:18" ht="15.75" hidden="1" thickBot="1" x14ac:dyDescent="0.25">
      <c r="A123" s="217" t="s">
        <v>88</v>
      </c>
      <c r="B123" s="218">
        <f t="shared" ref="B123:M123" si="56">(B121+B122)</f>
        <v>5.3595228649811091</v>
      </c>
      <c r="C123" s="218">
        <f t="shared" si="56"/>
        <v>4.9376823487790986</v>
      </c>
      <c r="D123" s="218">
        <f t="shared" si="56"/>
        <v>3.7609770846671848</v>
      </c>
      <c r="E123" s="218">
        <f t="shared" si="56"/>
        <v>2.9155167701798783</v>
      </c>
      <c r="F123" s="218">
        <f t="shared" si="56"/>
        <v>1.9498281079414652</v>
      </c>
      <c r="G123" s="218">
        <f t="shared" si="56"/>
        <v>1.725714692723852</v>
      </c>
      <c r="H123" s="218">
        <f t="shared" si="56"/>
        <v>1.6061536847810818</v>
      </c>
      <c r="I123" s="218">
        <f t="shared" si="56"/>
        <v>2.522469070906415</v>
      </c>
      <c r="J123" s="218">
        <f t="shared" si="56"/>
        <v>3.6181705480956632</v>
      </c>
      <c r="K123" s="218">
        <f t="shared" si="56"/>
        <v>4.2520045772591875</v>
      </c>
      <c r="L123" s="218">
        <f t="shared" si="56"/>
        <v>4.9903563146560828</v>
      </c>
      <c r="M123" s="219">
        <f t="shared" si="56"/>
        <v>5.5523444944006375</v>
      </c>
      <c r="N123" s="220"/>
      <c r="O123" s="212"/>
      <c r="P123" s="212"/>
      <c r="Q123" s="211"/>
      <c r="R123" s="211"/>
    </row>
    <row r="124" spans="1:18" ht="13.5" hidden="1" thickTop="1" x14ac:dyDescent="0.2">
      <c r="A124" s="221"/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67"/>
      <c r="O124" s="212"/>
      <c r="P124" s="212"/>
      <c r="Q124" s="211"/>
      <c r="R124" s="211"/>
    </row>
    <row r="125" spans="1:18" ht="13.5" hidden="1" x14ac:dyDescent="0.25">
      <c r="A125" s="222"/>
      <c r="B125" s="223"/>
      <c r="C125" s="223"/>
      <c r="D125" s="223"/>
      <c r="E125" s="223"/>
      <c r="F125" s="223"/>
      <c r="G125" s="223"/>
      <c r="H125" s="223"/>
      <c r="I125" s="223"/>
      <c r="J125" s="223"/>
      <c r="K125" s="223"/>
      <c r="L125" s="223"/>
      <c r="M125" s="223"/>
      <c r="N125" s="224"/>
    </row>
    <row r="126" spans="1:18" ht="13.5" hidden="1" x14ac:dyDescent="0.25">
      <c r="A126" s="222"/>
      <c r="B126" s="223"/>
      <c r="C126" s="223"/>
      <c r="D126" s="223"/>
      <c r="E126" s="223"/>
      <c r="F126" s="223"/>
      <c r="G126" s="223"/>
      <c r="H126" s="223"/>
      <c r="I126" s="223"/>
      <c r="J126" s="223"/>
      <c r="K126" s="223"/>
      <c r="L126" s="223"/>
      <c r="M126" s="223"/>
      <c r="N126" s="225"/>
    </row>
    <row r="127" spans="1:18" hidden="1" x14ac:dyDescent="0.2">
      <c r="A127" s="226"/>
      <c r="B127" s="227"/>
      <c r="C127" s="140"/>
      <c r="D127" s="140"/>
      <c r="E127" s="140"/>
      <c r="F127" s="140"/>
      <c r="G127" s="140"/>
      <c r="H127" s="140"/>
      <c r="I127" s="140"/>
      <c r="J127" s="140"/>
      <c r="K127" s="140"/>
      <c r="L127" s="228"/>
      <c r="M127" s="228"/>
      <c r="N127" s="225"/>
    </row>
    <row r="128" spans="1:18" hidden="1" x14ac:dyDescent="0.2">
      <c r="A128" s="226" t="s">
        <v>33</v>
      </c>
      <c r="B128" s="227">
        <f t="shared" ref="B128:M128" si="57">MIN(B32,50)</f>
        <v>50</v>
      </c>
      <c r="C128" s="227">
        <f t="shared" si="57"/>
        <v>50</v>
      </c>
      <c r="D128" s="227">
        <f t="shared" si="57"/>
        <v>50</v>
      </c>
      <c r="E128" s="227">
        <f t="shared" si="57"/>
        <v>50</v>
      </c>
      <c r="F128" s="227">
        <f t="shared" si="57"/>
        <v>50</v>
      </c>
      <c r="G128" s="227">
        <f t="shared" si="57"/>
        <v>50</v>
      </c>
      <c r="H128" s="227">
        <f t="shared" si="57"/>
        <v>50</v>
      </c>
      <c r="I128" s="227">
        <f t="shared" si="57"/>
        <v>50</v>
      </c>
      <c r="J128" s="227">
        <f t="shared" si="57"/>
        <v>50</v>
      </c>
      <c r="K128" s="227">
        <f t="shared" si="57"/>
        <v>50</v>
      </c>
      <c r="L128" s="227">
        <f t="shared" si="57"/>
        <v>50</v>
      </c>
      <c r="M128" s="227">
        <f t="shared" si="57"/>
        <v>50</v>
      </c>
      <c r="N128" s="215"/>
    </row>
    <row r="129" spans="1:14" hidden="1" x14ac:dyDescent="0.2">
      <c r="A129" s="226"/>
      <c r="B129" s="229"/>
      <c r="C129" s="140"/>
      <c r="D129" s="140"/>
      <c r="E129" s="140"/>
      <c r="F129" s="140"/>
      <c r="G129" s="140"/>
      <c r="H129" s="140"/>
      <c r="I129" s="140"/>
      <c r="J129" s="140"/>
      <c r="K129" s="140"/>
      <c r="L129" s="228"/>
      <c r="M129" s="228"/>
      <c r="N129" s="67"/>
    </row>
    <row r="130" spans="1:14" hidden="1" x14ac:dyDescent="0.2">
      <c r="A130" s="140" t="s">
        <v>3</v>
      </c>
      <c r="B130" s="230">
        <f t="shared" ref="B130:M130" si="58">B72</f>
        <v>-24.433333333333334</v>
      </c>
      <c r="C130" s="230">
        <f t="shared" si="58"/>
        <v>-24.433333333333334</v>
      </c>
      <c r="D130" s="230">
        <f t="shared" si="58"/>
        <v>-24.433333333333334</v>
      </c>
      <c r="E130" s="230">
        <f t="shared" si="58"/>
        <v>-24.433333333333334</v>
      </c>
      <c r="F130" s="230">
        <f t="shared" si="58"/>
        <v>-24.433333333333334</v>
      </c>
      <c r="G130" s="230">
        <f t="shared" si="58"/>
        <v>-24.433333333333334</v>
      </c>
      <c r="H130" s="230">
        <f t="shared" si="58"/>
        <v>-24.433333333333334</v>
      </c>
      <c r="I130" s="230">
        <f t="shared" si="58"/>
        <v>-24.433333333333334</v>
      </c>
      <c r="J130" s="230">
        <f t="shared" si="58"/>
        <v>-24.433333333333334</v>
      </c>
      <c r="K130" s="230">
        <f t="shared" si="58"/>
        <v>-24.433333333333334</v>
      </c>
      <c r="L130" s="230">
        <f t="shared" si="58"/>
        <v>-24.433333333333334</v>
      </c>
      <c r="M130" s="230">
        <f t="shared" si="58"/>
        <v>-24.433333333333334</v>
      </c>
      <c r="N130" s="67"/>
    </row>
    <row r="131" spans="1:14" hidden="1" x14ac:dyDescent="0.2">
      <c r="A131" s="140" t="s">
        <v>6</v>
      </c>
      <c r="B131" s="229">
        <f>RADIANS(B130)</f>
        <v>-0.42644211390394787</v>
      </c>
      <c r="C131" s="229">
        <f t="shared" ref="C131:K131" si="59">RADIANS(C130)</f>
        <v>-0.42644211390394787</v>
      </c>
      <c r="D131" s="229">
        <f t="shared" si="59"/>
        <v>-0.42644211390394787</v>
      </c>
      <c r="E131" s="229">
        <f t="shared" si="59"/>
        <v>-0.42644211390394787</v>
      </c>
      <c r="F131" s="229">
        <f t="shared" si="59"/>
        <v>-0.42644211390394787</v>
      </c>
      <c r="G131" s="229">
        <f t="shared" si="59"/>
        <v>-0.42644211390394787</v>
      </c>
      <c r="H131" s="229">
        <f t="shared" si="59"/>
        <v>-0.42644211390394787</v>
      </c>
      <c r="I131" s="229">
        <f t="shared" si="59"/>
        <v>-0.42644211390394787</v>
      </c>
      <c r="J131" s="229">
        <f t="shared" si="59"/>
        <v>-0.42644211390394787</v>
      </c>
      <c r="K131" s="229">
        <f t="shared" si="59"/>
        <v>-0.42644211390394787</v>
      </c>
      <c r="L131" s="229">
        <f>RADIANS(L130)</f>
        <v>-0.42644211390394787</v>
      </c>
      <c r="M131" s="229">
        <f>RADIANS(M130)</f>
        <v>-0.42644211390394787</v>
      </c>
      <c r="N131" s="67"/>
    </row>
    <row r="132" spans="1:14" hidden="1" x14ac:dyDescent="0.2">
      <c r="A132" s="140" t="s">
        <v>0</v>
      </c>
      <c r="B132" s="231">
        <f t="shared" ref="B132:M132" si="60">B71</f>
        <v>15</v>
      </c>
      <c r="C132" s="231">
        <f t="shared" si="60"/>
        <v>46</v>
      </c>
      <c r="D132" s="231">
        <f t="shared" si="60"/>
        <v>74</v>
      </c>
      <c r="E132" s="231">
        <f t="shared" si="60"/>
        <v>105</v>
      </c>
      <c r="F132" s="231">
        <f t="shared" si="60"/>
        <v>135</v>
      </c>
      <c r="G132" s="231">
        <f t="shared" si="60"/>
        <v>166</v>
      </c>
      <c r="H132" s="231">
        <f t="shared" si="60"/>
        <v>196</v>
      </c>
      <c r="I132" s="231">
        <f t="shared" si="60"/>
        <v>227</v>
      </c>
      <c r="J132" s="231">
        <f t="shared" si="60"/>
        <v>258</v>
      </c>
      <c r="K132" s="231">
        <f t="shared" si="60"/>
        <v>288</v>
      </c>
      <c r="L132" s="231">
        <f t="shared" si="60"/>
        <v>319</v>
      </c>
      <c r="M132" s="231">
        <f t="shared" si="60"/>
        <v>349</v>
      </c>
      <c r="N132" s="67"/>
    </row>
    <row r="133" spans="1:14" hidden="1" x14ac:dyDescent="0.2">
      <c r="A133" s="140"/>
      <c r="B133" s="230">
        <f>(2*(3.1415927)/365)*((B132)-1)</f>
        <v>0.24099889205479449</v>
      </c>
      <c r="C133" s="230">
        <f t="shared" ref="C133:K133" si="61">(2*(3.1415927)/365)*((C132)-1)</f>
        <v>0.77463929589041092</v>
      </c>
      <c r="D133" s="230">
        <f t="shared" si="61"/>
        <v>1.25663708</v>
      </c>
      <c r="E133" s="230">
        <f t="shared" si="61"/>
        <v>1.7902774838356161</v>
      </c>
      <c r="F133" s="230">
        <f t="shared" si="61"/>
        <v>2.3067036810958901</v>
      </c>
      <c r="G133" s="230">
        <f t="shared" si="61"/>
        <v>2.8403440849315067</v>
      </c>
      <c r="H133" s="230">
        <f t="shared" si="61"/>
        <v>3.3567702821917806</v>
      </c>
      <c r="I133" s="230">
        <f t="shared" si="61"/>
        <v>3.8904106860273968</v>
      </c>
      <c r="J133" s="230">
        <f t="shared" si="61"/>
        <v>4.4240510898630134</v>
      </c>
      <c r="K133" s="230">
        <f t="shared" si="61"/>
        <v>4.9404772871232874</v>
      </c>
      <c r="L133" s="230">
        <f>(2*(3.1415927)/365)*((L132)-1)</f>
        <v>5.4741176909589031</v>
      </c>
      <c r="M133" s="230">
        <f>(2*(3.1415927)/365)*((M132)-1)</f>
        <v>5.990543888219177</v>
      </c>
      <c r="N133" s="67"/>
    </row>
    <row r="134" spans="1:14" hidden="1" x14ac:dyDescent="0.2">
      <c r="A134" s="140" t="s">
        <v>1</v>
      </c>
      <c r="B134" s="230">
        <f>(0.006918-0.399912*COS(B133)+0.070257*SIN(B133)-0.006758*COS(2*B133)+0.000907*SIN(2*B133)-0.002697*COS(3*B133)+0.00148*SIN(3*B133))</f>
        <v>-0.37127881851934269</v>
      </c>
      <c r="C134" s="230">
        <f t="shared" ref="C134:K134" si="62">(0.006918-0.399912*COS(C133)+0.070257*SIN(C133)-0.006758*COS(2*C133)+0.000907*SIN(2*C133)-0.002697*COS(3*C133)+0.00148*SIN(3*C133))</f>
        <v>-0.2260609554070501</v>
      </c>
      <c r="D134" s="230">
        <f t="shared" si="62"/>
        <v>-4.2530764427924042E-2</v>
      </c>
      <c r="E134" s="230">
        <f t="shared" si="62"/>
        <v>0.16547067846845137</v>
      </c>
      <c r="F134" s="230">
        <f t="shared" si="62"/>
        <v>0.32591622304615386</v>
      </c>
      <c r="G134" s="230">
        <f t="shared" si="62"/>
        <v>0.40641606786210932</v>
      </c>
      <c r="H134" s="230">
        <f t="shared" si="62"/>
        <v>0.37810658923309054</v>
      </c>
      <c r="I134" s="230">
        <f t="shared" si="62"/>
        <v>0.2495910803999084</v>
      </c>
      <c r="J134" s="230">
        <f t="shared" si="62"/>
        <v>5.8346889109024455E-2</v>
      </c>
      <c r="K134" s="230">
        <f t="shared" si="62"/>
        <v>-0.14342676867751616</v>
      </c>
      <c r="L134" s="230">
        <f>(0.006918-0.399912*COS(L133)+0.070257*SIN(L133)-0.006758*COS(2*L133)+0.000907*SIN(2*L133)-0.002697*COS(3*L133)+0.00148*SIN(3*L133))</f>
        <v>-0.31944995241811935</v>
      </c>
      <c r="M134" s="230">
        <f>(0.006918-0.399912*COS(M133)+0.070257*SIN(M133)-0.006758*COS(2*M133)+0.000907*SIN(2*M133)-0.002697*COS(3*M133)+0.00148*SIN(3*M133))</f>
        <v>-0.40525540188593534</v>
      </c>
      <c r="N134" s="67"/>
    </row>
    <row r="135" spans="1:14" hidden="1" x14ac:dyDescent="0.2">
      <c r="A135" s="140" t="s">
        <v>2</v>
      </c>
      <c r="B135" s="232">
        <f>DEGREES(B134)</f>
        <v>-21.272709323761966</v>
      </c>
      <c r="C135" s="232">
        <f t="shared" ref="C135:K135" si="63">DEGREES(C134)</f>
        <v>-12.952338657519077</v>
      </c>
      <c r="D135" s="232">
        <f t="shared" si="63"/>
        <v>-2.4368333011851808</v>
      </c>
      <c r="E135" s="232">
        <f t="shared" si="63"/>
        <v>9.4807715094085285</v>
      </c>
      <c r="F135" s="232">
        <f t="shared" si="63"/>
        <v>18.673624055388991</v>
      </c>
      <c r="G135" s="232">
        <f t="shared" si="63"/>
        <v>23.285925414801319</v>
      </c>
      <c r="H135" s="232">
        <f t="shared" si="63"/>
        <v>21.663911769142743</v>
      </c>
      <c r="I135" s="232">
        <f t="shared" si="63"/>
        <v>14.300515511025155</v>
      </c>
      <c r="J135" s="232">
        <f t="shared" si="63"/>
        <v>3.3430304936649295</v>
      </c>
      <c r="K135" s="232">
        <f t="shared" si="63"/>
        <v>-8.217748514420828</v>
      </c>
      <c r="L135" s="232">
        <f>DEGREES(L134)</f>
        <v>-18.303134039213205</v>
      </c>
      <c r="M135" s="232">
        <f>DEGREES(M134)</f>
        <v>-23.219424152942118</v>
      </c>
      <c r="N135" s="67"/>
    </row>
    <row r="136" spans="1:14" hidden="1" x14ac:dyDescent="0.2">
      <c r="A136" s="140" t="s">
        <v>4</v>
      </c>
      <c r="B136" s="233">
        <f>ACOS(-(SIN(B131)*SIN(B134)-SIN(3.1416/180*(-0.8333-(0.0347*SQRT(0)))))/(COS(B131)*COS(B134)))</f>
        <v>1.7660601178609427</v>
      </c>
      <c r="C136" s="233">
        <f t="shared" ref="C136:K136" si="64">ACOS(-(SIN(C131)*SIN(C134)-SIN(3.1416/180*(-0.8333-(0.0347*SQRT(0)))))/(COS(C131)*COS(C134)))</f>
        <v>1.6919740909821928</v>
      </c>
      <c r="D136" s="233">
        <f t="shared" si="64"/>
        <v>1.6061263706376336</v>
      </c>
      <c r="E136" s="233">
        <f t="shared" si="64"/>
        <v>1.5110853224588567</v>
      </c>
      <c r="F136" s="233">
        <f t="shared" si="64"/>
        <v>1.4336822826127995</v>
      </c>
      <c r="G136" s="233">
        <f t="shared" si="64"/>
        <v>1.3917013540799508</v>
      </c>
      <c r="H136" s="233">
        <f t="shared" si="64"/>
        <v>1.4067847882582833</v>
      </c>
      <c r="I136" s="233">
        <f t="shared" si="64"/>
        <v>1.4713074857230908</v>
      </c>
      <c r="J136" s="233">
        <f t="shared" si="64"/>
        <v>1.5602588992976203</v>
      </c>
      <c r="K136" s="233">
        <f t="shared" si="64"/>
        <v>1.6526397457556981</v>
      </c>
      <c r="L136" s="233">
        <f>ACOS(-(SIN(L131)*SIN(L134)-SIN(3.1416/180*(-0.8333-(0.0347*SQRT(0)))))/(COS(L131)*COS(L134)))</f>
        <v>1.7386892508480782</v>
      </c>
      <c r="M136" s="233">
        <f>ACOS(-(SIN(M131)*SIN(M134)-SIN(3.1416/180*(-0.8333-(0.0347*SQRT(0)))))/(COS(M131)*COS(M134)))</f>
        <v>1.7847107629511592</v>
      </c>
      <c r="N136" s="67"/>
    </row>
    <row r="137" spans="1:14" hidden="1" x14ac:dyDescent="0.2">
      <c r="A137" s="140" t="s">
        <v>5</v>
      </c>
      <c r="B137" s="232">
        <f>DEGREES(B136)</f>
        <v>101.18779111980875</v>
      </c>
      <c r="C137" s="232">
        <f t="shared" ref="C137:K137" si="65">DEGREES(C136)</f>
        <v>96.942974458763601</v>
      </c>
      <c r="D137" s="232">
        <f t="shared" si="65"/>
        <v>92.024262402200989</v>
      </c>
      <c r="E137" s="232">
        <f t="shared" si="65"/>
        <v>86.578811461057555</v>
      </c>
      <c r="F137" s="232">
        <f t="shared" si="65"/>
        <v>82.143943956395546</v>
      </c>
      <c r="G137" s="232">
        <f t="shared" si="65"/>
        <v>79.738613931422975</v>
      </c>
      <c r="H137" s="232">
        <f t="shared" si="65"/>
        <v>80.602831050404802</v>
      </c>
      <c r="I137" s="232">
        <f t="shared" si="65"/>
        <v>84.299709297937724</v>
      </c>
      <c r="J137" s="232">
        <f t="shared" si="65"/>
        <v>89.396249877480969</v>
      </c>
      <c r="K137" s="232">
        <f t="shared" si="65"/>
        <v>94.689282487374896</v>
      </c>
      <c r="L137" s="232">
        <f>DEGREES(L136)</f>
        <v>99.619555958357779</v>
      </c>
      <c r="M137" s="232">
        <f>DEGREES(M136)</f>
        <v>102.25639436867455</v>
      </c>
      <c r="N137" s="67"/>
    </row>
    <row r="138" spans="1:14" hidden="1" x14ac:dyDescent="0.2">
      <c r="A138" s="140"/>
      <c r="B138" s="230"/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67"/>
    </row>
    <row r="139" spans="1:14" hidden="1" x14ac:dyDescent="0.2">
      <c r="A139" s="140" t="s">
        <v>7</v>
      </c>
      <c r="B139" s="230">
        <f>2*(B145)/15</f>
        <v>13.358437340217245</v>
      </c>
      <c r="C139" s="230">
        <f t="shared" ref="C139:M139" si="66">2*(C145)/15</f>
        <v>12.799708054033603</v>
      </c>
      <c r="D139" s="230">
        <f t="shared" si="66"/>
        <v>12.14771246956842</v>
      </c>
      <c r="E139" s="230">
        <f t="shared" si="66"/>
        <v>11.419833314099403</v>
      </c>
      <c r="F139" s="230">
        <f t="shared" si="66"/>
        <v>10.822333293553775</v>
      </c>
      <c r="G139" s="230">
        <f t="shared" si="66"/>
        <v>10.496578367085581</v>
      </c>
      <c r="H139" s="230">
        <f t="shared" si="66"/>
        <v>10.613752268375007</v>
      </c>
      <c r="I139" s="230">
        <f t="shared" si="66"/>
        <v>11.113290737751155</v>
      </c>
      <c r="J139" s="230">
        <f t="shared" si="66"/>
        <v>11.79723786363275</v>
      </c>
      <c r="K139" s="230">
        <f t="shared" si="66"/>
        <v>12.501602416807648</v>
      </c>
      <c r="L139" s="230">
        <f t="shared" si="66"/>
        <v>13.152421499898402</v>
      </c>
      <c r="M139" s="230">
        <f t="shared" si="66"/>
        <v>13.498555843838348</v>
      </c>
      <c r="N139" s="67"/>
    </row>
    <row r="140" spans="1:14" hidden="1" x14ac:dyDescent="0.2">
      <c r="A140" s="140"/>
      <c r="B140" s="230">
        <f>2*(B137)/15</f>
        <v>13.491705482641168</v>
      </c>
      <c r="C140" s="230"/>
      <c r="D140" s="230"/>
      <c r="E140" s="230"/>
      <c r="F140" s="230"/>
      <c r="G140" s="230"/>
      <c r="H140" s="230"/>
      <c r="I140" s="230"/>
      <c r="J140" s="230"/>
      <c r="K140" s="230"/>
      <c r="L140" s="230"/>
      <c r="M140" s="230"/>
      <c r="N140" s="67"/>
    </row>
    <row r="141" spans="1:14" hidden="1" x14ac:dyDescent="0.2">
      <c r="A141" s="140" t="s">
        <v>22</v>
      </c>
      <c r="B141" s="230">
        <f>(1.00011+0.034221*COS(B133)+0.00128*SIN(B133)+0.000719*COS(2*B133)+0.000777*SIN(2*B133))</f>
        <v>1.0346447793312246</v>
      </c>
      <c r="C141" s="230">
        <f t="shared" ref="C141:K141" si="67">(1.00011+0.034221*COS(C133)+0.00128*SIN(C133)+0.000719*COS(2*C133)+0.000777*SIN(2*C133))</f>
        <v>1.02625443452298</v>
      </c>
      <c r="D141" s="230">
        <f t="shared" si="67"/>
        <v>1.011777248191563</v>
      </c>
      <c r="E141" s="230">
        <f t="shared" si="67"/>
        <v>0.99292752675796481</v>
      </c>
      <c r="F141" s="230">
        <f t="shared" si="67"/>
        <v>0.97724332780938028</v>
      </c>
      <c r="G141" s="230">
        <f t="shared" si="67"/>
        <v>0.9679619480778453</v>
      </c>
      <c r="H141" s="230">
        <f t="shared" si="67"/>
        <v>0.96738248071800281</v>
      </c>
      <c r="I141" s="230">
        <f t="shared" si="67"/>
        <v>0.97499940852282041</v>
      </c>
      <c r="J141" s="230">
        <f t="shared" si="67"/>
        <v>0.98897271614304849</v>
      </c>
      <c r="K141" s="230">
        <f t="shared" si="67"/>
        <v>1.0056132980942298</v>
      </c>
      <c r="L141" s="230">
        <f>(1.00011+0.034221*COS(L133)+0.00128*SIN(L133)+0.000719*COS(2*L133)+0.000777*SIN(2*L133))</f>
        <v>1.0219920077170883</v>
      </c>
      <c r="M141" s="230">
        <f>(1.00011+0.034221*COS(M133)+0.00128*SIN(M133)+0.000719*COS(2*M133)+0.000777*SIN(2*M133))</f>
        <v>1.0326769286452877</v>
      </c>
      <c r="N141" s="67"/>
    </row>
    <row r="142" spans="1:14" hidden="1" x14ac:dyDescent="0.2">
      <c r="A142" s="140" t="s">
        <v>1</v>
      </c>
      <c r="B142" s="230">
        <f>(0.006918-0.399912*COS(B133)+0.070257*SIN(B133)-0.006758*COS(2*B133)+0.000907*SIN(2*B133)-0.002697*COS(3*B133)+0.00148*SIN(3*B133))</f>
        <v>-0.37127881851934269</v>
      </c>
      <c r="C142" s="230">
        <f t="shared" ref="C142:K142" si="68">(0.006918-0.399912*COS(C133)+0.070257*SIN(C133)-0.006758*COS(2*C133)+0.000907*SIN(2*C133)-0.002697*COS(3*C133)+0.00148*SIN(3*C133))</f>
        <v>-0.2260609554070501</v>
      </c>
      <c r="D142" s="230">
        <f t="shared" si="68"/>
        <v>-4.2530764427924042E-2</v>
      </c>
      <c r="E142" s="230">
        <f t="shared" si="68"/>
        <v>0.16547067846845137</v>
      </c>
      <c r="F142" s="230">
        <f t="shared" si="68"/>
        <v>0.32591622304615386</v>
      </c>
      <c r="G142" s="230">
        <f t="shared" si="68"/>
        <v>0.40641606786210932</v>
      </c>
      <c r="H142" s="230">
        <f t="shared" si="68"/>
        <v>0.37810658923309054</v>
      </c>
      <c r="I142" s="230">
        <f t="shared" si="68"/>
        <v>0.2495910803999084</v>
      </c>
      <c r="J142" s="230">
        <f t="shared" si="68"/>
        <v>5.8346889109024455E-2</v>
      </c>
      <c r="K142" s="230">
        <f t="shared" si="68"/>
        <v>-0.14342676867751616</v>
      </c>
      <c r="L142" s="230">
        <f>(0.006918-0.399912*COS(L133)+0.070257*SIN(L133)-0.006758*COS(2*L133)+0.000907*SIN(2*L133)-0.002697*COS(3*L133)+0.00148*SIN(3*L133))</f>
        <v>-0.31944995241811935</v>
      </c>
      <c r="M142" s="230">
        <f>(0.006918-0.399912*COS(M133)+0.070257*SIN(M133)-0.006758*COS(2*M133)+0.000907*SIN(2*M133)-0.002697*COS(3*M133)+0.00148*SIN(3*M133))</f>
        <v>-0.40525540188593534</v>
      </c>
      <c r="N142" s="67"/>
    </row>
    <row r="143" spans="1:14" hidden="1" x14ac:dyDescent="0.2">
      <c r="A143" s="140" t="s">
        <v>2</v>
      </c>
      <c r="B143" s="230">
        <f>DEGREES(B142)</f>
        <v>-21.272709323761966</v>
      </c>
      <c r="C143" s="230">
        <f t="shared" ref="C143:K143" si="69">DEGREES(C142)</f>
        <v>-12.952338657519077</v>
      </c>
      <c r="D143" s="230">
        <f t="shared" si="69"/>
        <v>-2.4368333011851808</v>
      </c>
      <c r="E143" s="230">
        <f t="shared" si="69"/>
        <v>9.4807715094085285</v>
      </c>
      <c r="F143" s="230">
        <f t="shared" si="69"/>
        <v>18.673624055388991</v>
      </c>
      <c r="G143" s="230">
        <f t="shared" si="69"/>
        <v>23.285925414801319</v>
      </c>
      <c r="H143" s="230">
        <f t="shared" si="69"/>
        <v>21.663911769142743</v>
      </c>
      <c r="I143" s="230">
        <f t="shared" si="69"/>
        <v>14.300515511025155</v>
      </c>
      <c r="J143" s="230">
        <f t="shared" si="69"/>
        <v>3.3430304936649295</v>
      </c>
      <c r="K143" s="230">
        <f t="shared" si="69"/>
        <v>-8.217748514420828</v>
      </c>
      <c r="L143" s="230">
        <f>DEGREES(L142)</f>
        <v>-18.303134039213205</v>
      </c>
      <c r="M143" s="230">
        <f>DEGREES(M142)</f>
        <v>-23.219424152942118</v>
      </c>
      <c r="N143" s="67"/>
    </row>
    <row r="144" spans="1:14" hidden="1" x14ac:dyDescent="0.2">
      <c r="A144" s="140" t="s">
        <v>4</v>
      </c>
      <c r="B144" s="233">
        <f>ACOS(-(TAN(B131)*TAN(B142)))</f>
        <v>1.7486153588110862</v>
      </c>
      <c r="C144" s="233">
        <f t="shared" ref="C144:K144" si="70">ACOS(-(TAN(C131)*TAN(C142)))</f>
        <v>1.6754778662769199</v>
      </c>
      <c r="D144" s="233">
        <f t="shared" si="70"/>
        <v>1.5901318438465528</v>
      </c>
      <c r="E144" s="233">
        <f t="shared" si="70"/>
        <v>1.4948526851997777</v>
      </c>
      <c r="F144" s="233">
        <f t="shared" si="70"/>
        <v>1.4166401154053654</v>
      </c>
      <c r="G144" s="233">
        <f t="shared" si="70"/>
        <v>1.3739988952444002</v>
      </c>
      <c r="H144" s="233">
        <f t="shared" si="70"/>
        <v>1.3893369230562052</v>
      </c>
      <c r="I144" s="233">
        <f t="shared" si="70"/>
        <v>1.454726355788605</v>
      </c>
      <c r="J144" s="233">
        <f t="shared" si="70"/>
        <v>1.5442548252099997</v>
      </c>
      <c r="K144" s="233">
        <f t="shared" si="70"/>
        <v>1.6364559296143044</v>
      </c>
      <c r="L144" s="233">
        <f>ACOS(-(TAN(L131)*TAN(L142)))</f>
        <v>1.7216479483748863</v>
      </c>
      <c r="M144" s="233">
        <f>ACOS(-(TAN(M131)*TAN(M142)))</f>
        <v>1.7669568280447552</v>
      </c>
      <c r="N144" s="67"/>
    </row>
    <row r="145" spans="1:14" hidden="1" x14ac:dyDescent="0.2">
      <c r="A145" s="140" t="s">
        <v>5</v>
      </c>
      <c r="B145" s="232">
        <f>DEGREES(B144)</f>
        <v>100.18828005162933</v>
      </c>
      <c r="C145" s="232">
        <f t="shared" ref="C145:K145" si="71">DEGREES(C144)</f>
        <v>95.997810405252025</v>
      </c>
      <c r="D145" s="232">
        <f t="shared" si="71"/>
        <v>91.107843521763144</v>
      </c>
      <c r="E145" s="232">
        <f t="shared" si="71"/>
        <v>85.648749855745521</v>
      </c>
      <c r="F145" s="232">
        <f t="shared" si="71"/>
        <v>81.167499701653313</v>
      </c>
      <c r="G145" s="232">
        <f t="shared" si="71"/>
        <v>78.724337753141853</v>
      </c>
      <c r="H145" s="232">
        <f t="shared" si="71"/>
        <v>79.603142012812555</v>
      </c>
      <c r="I145" s="232">
        <f t="shared" si="71"/>
        <v>83.349680533133665</v>
      </c>
      <c r="J145" s="232">
        <f t="shared" si="71"/>
        <v>88.479283977245629</v>
      </c>
      <c r="K145" s="232">
        <f t="shared" si="71"/>
        <v>93.762018126057356</v>
      </c>
      <c r="L145" s="232">
        <f>DEGREES(L144)</f>
        <v>98.64316124923802</v>
      </c>
      <c r="M145" s="232">
        <f>DEGREES(M144)</f>
        <v>101.23916882878761</v>
      </c>
      <c r="N145" s="67"/>
    </row>
    <row r="146" spans="1:14" hidden="1" x14ac:dyDescent="0.2">
      <c r="A146" s="140"/>
      <c r="B146" s="232"/>
      <c r="C146" s="232"/>
      <c r="D146" s="232"/>
      <c r="E146" s="232"/>
      <c r="F146" s="232"/>
      <c r="G146" s="232"/>
      <c r="H146" s="232"/>
      <c r="I146" s="232"/>
      <c r="J146" s="232"/>
      <c r="K146" s="232"/>
      <c r="L146" s="232"/>
      <c r="M146" s="232"/>
      <c r="N146" s="67"/>
    </row>
    <row r="147" spans="1:14" hidden="1" x14ac:dyDescent="0.2">
      <c r="A147" s="140" t="s">
        <v>23</v>
      </c>
      <c r="B147" s="232">
        <f>898*(B141)*(SIN(B131)*SIN(B142)*B144+(COS(B131)*COS(B142)*SIN(B144)))</f>
        <v>1019.6485854926452</v>
      </c>
      <c r="C147" s="232">
        <f t="shared" ref="C147:K147" si="72">898*(C141)*(SIN(C131)*SIN(C142)*C144+(COS(C131)*COS(C142)*SIN(C144)))</f>
        <v>956.37403582218587</v>
      </c>
      <c r="D147" s="232">
        <f t="shared" si="72"/>
        <v>851.7129960255445</v>
      </c>
      <c r="E147" s="232">
        <f t="shared" si="72"/>
        <v>707.58680672211301</v>
      </c>
      <c r="F147" s="232">
        <f t="shared" si="72"/>
        <v>583.29336132834624</v>
      </c>
      <c r="G147" s="232">
        <f t="shared" si="72"/>
        <v>517.59707915411002</v>
      </c>
      <c r="H147" s="232">
        <f t="shared" si="72"/>
        <v>538.68084778614025</v>
      </c>
      <c r="I147" s="232">
        <f t="shared" si="72"/>
        <v>637.10667960588933</v>
      </c>
      <c r="J147" s="232">
        <f t="shared" si="72"/>
        <v>773.82194518687095</v>
      </c>
      <c r="K147" s="232">
        <f t="shared" si="72"/>
        <v>899.3430288968641</v>
      </c>
      <c r="L147" s="232">
        <f>898*(L141)*(SIN(L131)*SIN(L142)*L144+(COS(L131)*COS(L142)*SIN(L144)))</f>
        <v>989.52329796980143</v>
      </c>
      <c r="M147" s="232">
        <f>898*(M141)*(SIN(M131)*SIN(M142)*M144+(COS(M131)*COS(M142)*SIN(M144)))</f>
        <v>1028.241010189136</v>
      </c>
      <c r="N147" s="67"/>
    </row>
    <row r="148" spans="1:14" hidden="1" x14ac:dyDescent="0.2">
      <c r="A148" s="140" t="s">
        <v>24</v>
      </c>
      <c r="B148" s="228">
        <f>B147*0.01708</f>
        <v>17.415597840214382</v>
      </c>
      <c r="C148" s="228">
        <f t="shared" ref="C148:K148" si="73">C147*0.01708</f>
        <v>16.334868531842936</v>
      </c>
      <c r="D148" s="228">
        <f t="shared" si="73"/>
        <v>14.5472579721163</v>
      </c>
      <c r="E148" s="228">
        <f t="shared" si="73"/>
        <v>12.085582658813692</v>
      </c>
      <c r="F148" s="228">
        <f t="shared" si="73"/>
        <v>9.9626506114881543</v>
      </c>
      <c r="G148" s="228">
        <f t="shared" si="73"/>
        <v>8.8405581119522001</v>
      </c>
      <c r="H148" s="228">
        <f t="shared" si="73"/>
        <v>9.2006688801872762</v>
      </c>
      <c r="I148" s="228">
        <f t="shared" si="73"/>
        <v>10.88178208766859</v>
      </c>
      <c r="J148" s="228">
        <f t="shared" si="73"/>
        <v>13.216878823791756</v>
      </c>
      <c r="K148" s="228">
        <f t="shared" si="73"/>
        <v>15.360778933558439</v>
      </c>
      <c r="L148" s="228">
        <f>L147*0.01708</f>
        <v>16.90105792932421</v>
      </c>
      <c r="M148" s="228">
        <f>M147*0.01708</f>
        <v>17.562356454030443</v>
      </c>
      <c r="N148" s="67"/>
    </row>
    <row r="149" spans="1:14" hidden="1" x14ac:dyDescent="0.2">
      <c r="A149" s="140" t="s">
        <v>30</v>
      </c>
      <c r="B149" s="228">
        <f>B147*0.041868</f>
        <v>42.690646977406075</v>
      </c>
      <c r="C149" s="228">
        <f t="shared" ref="C149:K149" si="74">C147*0.041868</f>
        <v>40.041468131803278</v>
      </c>
      <c r="D149" s="228">
        <f t="shared" si="74"/>
        <v>35.659519717597497</v>
      </c>
      <c r="E149" s="228">
        <f t="shared" si="74"/>
        <v>29.62524442384143</v>
      </c>
      <c r="F149" s="228">
        <f t="shared" si="74"/>
        <v>24.421326452095201</v>
      </c>
      <c r="G149" s="228">
        <f t="shared" si="74"/>
        <v>21.670754510024281</v>
      </c>
      <c r="H149" s="228">
        <f t="shared" si="74"/>
        <v>22.553489735110123</v>
      </c>
      <c r="I149" s="228">
        <f t="shared" si="74"/>
        <v>26.674382461739377</v>
      </c>
      <c r="J149" s="228">
        <f t="shared" si="74"/>
        <v>32.398377201083917</v>
      </c>
      <c r="K149" s="228">
        <f t="shared" si="74"/>
        <v>37.653693933853909</v>
      </c>
      <c r="L149" s="228">
        <f>L147*0.041868</f>
        <v>41.429361439399649</v>
      </c>
      <c r="M149" s="228">
        <f>M147*0.041868</f>
        <v>43.050394614598744</v>
      </c>
      <c r="N149" s="67"/>
    </row>
    <row r="150" spans="1:14" x14ac:dyDescent="0.2">
      <c r="A150" s="215"/>
      <c r="B150" s="215"/>
      <c r="C150" s="215"/>
      <c r="D150" s="215"/>
      <c r="E150" s="215"/>
      <c r="F150" s="215"/>
      <c r="G150" s="215"/>
      <c r="H150" s="215"/>
      <c r="I150" s="215"/>
      <c r="J150" s="215"/>
      <c r="K150" s="215"/>
      <c r="L150" s="225"/>
      <c r="M150" s="225"/>
      <c r="N150" s="67"/>
    </row>
    <row r="151" spans="1:14" x14ac:dyDescent="0.2">
      <c r="L151" s="1"/>
      <c r="M151" s="1"/>
    </row>
    <row r="152" spans="1:14" x14ac:dyDescent="0.2">
      <c r="L152" s="1"/>
      <c r="M152" s="1"/>
    </row>
    <row r="153" spans="1:14" x14ac:dyDescent="0.2">
      <c r="L153" s="1"/>
      <c r="M153" s="1"/>
    </row>
  </sheetData>
  <sheetProtection algorithmName="SHA-512" hashValue="0oBBbq3hRRMqTJEZKvM08rmX60h0wZq914LXYHBEIpHn8Vr4NUF/LFXfvd20qxV1z1RqZXzpNTY5zpNdTJh4UA==" saltValue="m4+HZjE+lah+wM75tScvqQ==" spinCount="100000" sheet="1" objects="1" scenarios="1"/>
  <mergeCells count="41">
    <mergeCell ref="I20:J20"/>
    <mergeCell ref="I14:J14"/>
    <mergeCell ref="I15:J15"/>
    <mergeCell ref="I16:J16"/>
    <mergeCell ref="I17:J17"/>
    <mergeCell ref="I18:J18"/>
    <mergeCell ref="I19:J19"/>
    <mergeCell ref="G12:H12"/>
    <mergeCell ref="G13:H13"/>
    <mergeCell ref="I10:J10"/>
    <mergeCell ref="I11:J11"/>
    <mergeCell ref="I12:J12"/>
    <mergeCell ref="I13:J13"/>
    <mergeCell ref="A4:N4"/>
    <mergeCell ref="A1:N1"/>
    <mergeCell ref="A2:N2"/>
    <mergeCell ref="A3:N3"/>
    <mergeCell ref="B10:C10"/>
    <mergeCell ref="B11:C11"/>
    <mergeCell ref="G10:H10"/>
    <mergeCell ref="G11:H11"/>
    <mergeCell ref="A5:N5"/>
    <mergeCell ref="A6:N6"/>
    <mergeCell ref="A7:N7"/>
    <mergeCell ref="A8:M8"/>
    <mergeCell ref="A44:N44"/>
    <mergeCell ref="A43:N43"/>
    <mergeCell ref="A22:N22"/>
    <mergeCell ref="K10:M10"/>
    <mergeCell ref="K11:M11"/>
    <mergeCell ref="K12:M12"/>
    <mergeCell ref="K13:M13"/>
    <mergeCell ref="A40:N41"/>
    <mergeCell ref="B24:F24"/>
    <mergeCell ref="K19:M19"/>
    <mergeCell ref="K20:M20"/>
    <mergeCell ref="K18:M18"/>
    <mergeCell ref="K14:M14"/>
    <mergeCell ref="K15:M15"/>
    <mergeCell ref="K16:M16"/>
    <mergeCell ref="K17:M17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E19" sqref="E19"/>
    </sheetView>
  </sheetViews>
  <sheetFormatPr baseColWidth="10" defaultRowHeight="12.75" x14ac:dyDescent="0.2"/>
  <cols>
    <col min="3" max="3" width="66.7109375" bestFit="1" customWidth="1"/>
  </cols>
  <sheetData>
    <row r="1" spans="1:3" ht="14.25" thickTop="1" thickBot="1" x14ac:dyDescent="0.25">
      <c r="A1" s="281" t="s">
        <v>136</v>
      </c>
      <c r="B1" s="282"/>
      <c r="C1" s="23" t="s">
        <v>137</v>
      </c>
    </row>
    <row r="2" spans="1:3" x14ac:dyDescent="0.2">
      <c r="A2" s="24"/>
      <c r="B2" s="22"/>
      <c r="C2" s="25"/>
    </row>
    <row r="3" spans="1:3" ht="14.25" x14ac:dyDescent="0.2">
      <c r="A3" s="283" t="s">
        <v>118</v>
      </c>
      <c r="B3" s="284"/>
      <c r="C3" s="26" t="s">
        <v>138</v>
      </c>
    </row>
    <row r="4" spans="1:3" ht="13.5" thickBot="1" x14ac:dyDescent="0.25">
      <c r="A4" s="27"/>
      <c r="B4" s="21"/>
      <c r="C4" s="28"/>
    </row>
    <row r="5" spans="1:3" ht="13.5" thickTop="1" x14ac:dyDescent="0.2">
      <c r="A5" s="29"/>
      <c r="B5" s="20"/>
      <c r="C5" s="26"/>
    </row>
    <row r="6" spans="1:3" ht="15.75" x14ac:dyDescent="0.3">
      <c r="A6" s="283" t="s">
        <v>119</v>
      </c>
      <c r="B6" s="284"/>
      <c r="C6" s="26" t="s">
        <v>139</v>
      </c>
    </row>
    <row r="7" spans="1:3" ht="13.5" thickBot="1" x14ac:dyDescent="0.25">
      <c r="A7" s="27"/>
      <c r="B7" s="21"/>
      <c r="C7" s="28"/>
    </row>
    <row r="8" spans="1:3" ht="13.5" thickTop="1" x14ac:dyDescent="0.2">
      <c r="A8" s="29"/>
      <c r="B8" s="20"/>
      <c r="C8" s="26"/>
    </row>
    <row r="9" spans="1:3" ht="14.25" x14ac:dyDescent="0.2">
      <c r="A9" s="283" t="s">
        <v>121</v>
      </c>
      <c r="B9" s="284"/>
      <c r="C9" s="26" t="s">
        <v>151</v>
      </c>
    </row>
    <row r="10" spans="1:3" ht="13.5" thickBot="1" x14ac:dyDescent="0.25">
      <c r="A10" s="27"/>
      <c r="B10" s="21"/>
      <c r="C10" s="28"/>
    </row>
    <row r="11" spans="1:3" ht="13.5" thickTop="1" x14ac:dyDescent="0.2">
      <c r="A11" s="29"/>
      <c r="B11" s="20"/>
      <c r="C11" s="26"/>
    </row>
    <row r="12" spans="1:3" ht="15.75" x14ac:dyDescent="0.3">
      <c r="A12" s="283" t="s">
        <v>120</v>
      </c>
      <c r="B12" s="284"/>
      <c r="C12" s="30" t="s">
        <v>140</v>
      </c>
    </row>
    <row r="13" spans="1:3" ht="13.5" thickBot="1" x14ac:dyDescent="0.25">
      <c r="A13" s="279"/>
      <c r="B13" s="280"/>
      <c r="C13" s="31"/>
    </row>
    <row r="14" spans="1:3" ht="13.5" thickTop="1" x14ac:dyDescent="0.2"/>
    <row r="15" spans="1:3" x14ac:dyDescent="0.2">
      <c r="A15" s="32" t="s">
        <v>141</v>
      </c>
      <c r="B15" s="32"/>
      <c r="C15" s="32"/>
    </row>
    <row r="16" spans="1:3" x14ac:dyDescent="0.2">
      <c r="A16" s="34" t="s">
        <v>142</v>
      </c>
      <c r="B16" s="33" t="s">
        <v>125</v>
      </c>
      <c r="C16" s="33"/>
    </row>
    <row r="17" spans="1:3" x14ac:dyDescent="0.2">
      <c r="A17" s="34" t="s">
        <v>143</v>
      </c>
      <c r="B17" s="33" t="s">
        <v>152</v>
      </c>
      <c r="C17" s="33"/>
    </row>
    <row r="18" spans="1:3" x14ac:dyDescent="0.2">
      <c r="A18" s="34" t="s">
        <v>144</v>
      </c>
      <c r="B18" s="33" t="s">
        <v>153</v>
      </c>
      <c r="C18" s="33"/>
    </row>
    <row r="19" spans="1:3" x14ac:dyDescent="0.2">
      <c r="A19" s="34" t="s">
        <v>145</v>
      </c>
      <c r="B19" s="33" t="s">
        <v>154</v>
      </c>
      <c r="C19" s="33"/>
    </row>
    <row r="20" spans="1:3" x14ac:dyDescent="0.2">
      <c r="A20" s="34" t="s">
        <v>146</v>
      </c>
      <c r="B20" s="33" t="s">
        <v>155</v>
      </c>
      <c r="C20" s="33"/>
    </row>
    <row r="21" spans="1:3" x14ac:dyDescent="0.2">
      <c r="A21" s="34" t="s">
        <v>148</v>
      </c>
      <c r="B21" s="33" t="s">
        <v>156</v>
      </c>
      <c r="C21" s="33"/>
    </row>
    <row r="22" spans="1:3" ht="14.25" x14ac:dyDescent="0.2">
      <c r="A22" s="34" t="s">
        <v>147</v>
      </c>
      <c r="B22" s="33" t="s">
        <v>157</v>
      </c>
      <c r="C22" s="33"/>
    </row>
    <row r="23" spans="1:3" x14ac:dyDescent="0.2">
      <c r="A23" s="34" t="s">
        <v>149</v>
      </c>
      <c r="B23" s="33" t="s">
        <v>158</v>
      </c>
      <c r="C23" s="33"/>
    </row>
    <row r="24" spans="1:3" x14ac:dyDescent="0.2">
      <c r="A24" s="34" t="s">
        <v>150</v>
      </c>
      <c r="B24" s="33" t="s">
        <v>159</v>
      </c>
      <c r="C24" s="33"/>
    </row>
    <row r="25" spans="1:3" x14ac:dyDescent="0.2">
      <c r="A25" s="35" t="s">
        <v>170</v>
      </c>
      <c r="B25" s="33" t="s">
        <v>164</v>
      </c>
      <c r="C25" s="33"/>
    </row>
    <row r="26" spans="1:3" x14ac:dyDescent="0.2">
      <c r="A26" s="35" t="s">
        <v>171</v>
      </c>
      <c r="B26" s="33" t="s">
        <v>165</v>
      </c>
      <c r="C26" s="33"/>
    </row>
    <row r="27" spans="1:3" x14ac:dyDescent="0.2">
      <c r="A27" s="35" t="s">
        <v>172</v>
      </c>
      <c r="B27" s="33" t="s">
        <v>163</v>
      </c>
      <c r="C27" s="33"/>
    </row>
    <row r="28" spans="1:3" ht="14.25" x14ac:dyDescent="0.2">
      <c r="A28" s="36" t="s">
        <v>160</v>
      </c>
      <c r="B28" s="33" t="s">
        <v>166</v>
      </c>
      <c r="C28" s="33"/>
    </row>
    <row r="29" spans="1:3" x14ac:dyDescent="0.2">
      <c r="A29" s="36" t="s">
        <v>161</v>
      </c>
      <c r="B29" s="33" t="s">
        <v>167</v>
      </c>
      <c r="C29" s="33"/>
    </row>
    <row r="30" spans="1:3" ht="14.25" x14ac:dyDescent="0.25">
      <c r="A30" s="36" t="s">
        <v>173</v>
      </c>
      <c r="B30" s="33" t="s">
        <v>168</v>
      </c>
      <c r="C30" s="33"/>
    </row>
    <row r="31" spans="1:3" x14ac:dyDescent="0.2">
      <c r="A31" s="36" t="s">
        <v>162</v>
      </c>
      <c r="B31" s="33" t="s">
        <v>169</v>
      </c>
      <c r="C31" s="33"/>
    </row>
    <row r="32" spans="1:3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</sheetData>
  <sheetProtection password="C4A2" sheet="1" objects="1" scenarios="1"/>
  <mergeCells count="6">
    <mergeCell ref="A13:B13"/>
    <mergeCell ref="A1:B1"/>
    <mergeCell ref="A12:B12"/>
    <mergeCell ref="A3:B3"/>
    <mergeCell ref="A6:B6"/>
    <mergeCell ref="A9:B9"/>
  </mergeCells>
  <phoneticPr fontId="29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9" sqref="A19"/>
    </sheetView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ETP</vt:lpstr>
      <vt:lpstr>Expresiones de cálculo</vt:lpstr>
      <vt:lpstr>Hoja2</vt:lpstr>
      <vt:lpstr>Gráfico</vt:lpstr>
    </vt:vector>
  </TitlesOfParts>
  <Company>etsia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edafologia..</dc:creator>
  <cp:lastModifiedBy>BANGHO</cp:lastModifiedBy>
  <cp:lastPrinted>2003-03-14T20:45:53Z</cp:lastPrinted>
  <dcterms:created xsi:type="dcterms:W3CDTF">2001-10-17T08:02:38Z</dcterms:created>
  <dcterms:modified xsi:type="dcterms:W3CDTF">2019-10-18T11:46:53Z</dcterms:modified>
</cp:coreProperties>
</file>